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9020" windowHeight="12150" tabRatio="802" activeTab="0"/>
  </bookViews>
  <sheets>
    <sheet name="Intro" sheetId="1" r:id="rId1"/>
    <sheet name="Standard Applications" sheetId="2" r:id="rId2"/>
    <sheet name="Standard Applications - Print" sheetId="3" r:id="rId3"/>
    <sheet name="ANSI Flanges" sheetId="4" r:id="rId4"/>
    <sheet name="ANSI Flanges - Print" sheetId="5" r:id="rId5"/>
    <sheet name="Custom Applications" sheetId="6" r:id="rId6"/>
    <sheet name="Custom Applications - Print" sheetId="7" r:id="rId7"/>
    <sheet name="Manway Custom Applications" sheetId="8" r:id="rId8"/>
    <sheet name="Manway Custom Applications - Pr" sheetId="9" r:id="rId9"/>
    <sheet name="Yield" sheetId="10" r:id="rId10"/>
  </sheets>
  <definedNames>
    <definedName name="ANSI_Flanges">'ANSI Flanges'!$A$61:$A$100</definedName>
    <definedName name="Applications" localSheetId="3">'ANSI Flanges'!#REF!</definedName>
    <definedName name="Applications" localSheetId="4">'ANSI Flanges - Print'!#REF!</definedName>
    <definedName name="Applications" localSheetId="5">'Custom Applications'!$A$58:$A$98</definedName>
    <definedName name="Applications" localSheetId="6">'Custom Applications - Print'!#REF!</definedName>
    <definedName name="Applications" localSheetId="7">'Manway Custom Applications'!$A$58:$A$98</definedName>
    <definedName name="Applications" localSheetId="8">'Manway Custom Applications - Pr'!#REF!</definedName>
    <definedName name="Applications" localSheetId="2">'Standard Applications - Print'!#REF!</definedName>
    <definedName name="Applications">'Standard Applications'!$A$62:$A$101</definedName>
    <definedName name="Bolt_Grade">'Yield'!$A$3:$A$31</definedName>
    <definedName name="Bolt_Size">'Yield'!$B$1:$U$1</definedName>
    <definedName name="Gasket_Material">'Yield'!$X$2:$X$24</definedName>
  </definedNames>
  <calcPr fullCalcOnLoad="1"/>
</workbook>
</file>

<file path=xl/sharedStrings.xml><?xml version="1.0" encoding="utf-8"?>
<sst xmlns="http://schemas.openxmlformats.org/spreadsheetml/2006/main" count="877" uniqueCount="299">
  <si>
    <t>N/A</t>
  </si>
  <si>
    <t>ASTM A449</t>
  </si>
  <si>
    <t>ASTM A490</t>
  </si>
  <si>
    <t xml:space="preserve"> psi</t>
  </si>
  <si>
    <t>Gasket O.D.:</t>
  </si>
  <si>
    <t xml:space="preserve"> inches</t>
  </si>
  <si>
    <t>Gasket I.D.:</t>
  </si>
  <si>
    <t>Bolt Quantity:</t>
  </si>
  <si>
    <t>Bolt Size:</t>
  </si>
  <si>
    <t>Contact Area:</t>
  </si>
  <si>
    <t xml:space="preserve"> sq.in.</t>
  </si>
  <si>
    <t>Application:</t>
  </si>
  <si>
    <t>Gasket Material:</t>
  </si>
  <si>
    <t>Description:</t>
  </si>
  <si>
    <t>Min. Stress:</t>
  </si>
  <si>
    <t>Max. Stress:</t>
  </si>
  <si>
    <t>Yield Strength:</t>
  </si>
  <si>
    <t>"k" Factor:</t>
  </si>
  <si>
    <t xml:space="preserve"> ft.lbs.</t>
  </si>
  <si>
    <t>ASTM A354 Grade BC</t>
  </si>
  <si>
    <t>ASTM A354 Grade BD</t>
  </si>
  <si>
    <t>ISO R898 Class 4.6</t>
  </si>
  <si>
    <t>ISO R898 Class 5.8</t>
  </si>
  <si>
    <t>ISO R898 Class 8.8</t>
  </si>
  <si>
    <t>ISO R898 Class 10.9</t>
  </si>
  <si>
    <t>SAE J429 Grade 1</t>
  </si>
  <si>
    <t>SAE J429 Grade 2</t>
  </si>
  <si>
    <t>SAE J429 Grade 4</t>
  </si>
  <si>
    <t>SAE J429 Grade 5</t>
  </si>
  <si>
    <t>SAE J429 Grade 5.2</t>
  </si>
  <si>
    <t>SAE J429 Grade 7</t>
  </si>
  <si>
    <t>SAE J429 Grade 8</t>
  </si>
  <si>
    <t>SAE J429 Grade 8.1</t>
  </si>
  <si>
    <t>ASTM A193 Grade B5</t>
  </si>
  <si>
    <t>ASTM A193 Grade B6</t>
  </si>
  <si>
    <t>ASTM A193 Class 2: Grade B8M</t>
  </si>
  <si>
    <t xml:space="preserve">ASTM A320 Class 2: Grade B8M </t>
  </si>
  <si>
    <t>Gasket Stress:</t>
  </si>
  <si>
    <t>Standard Applications</t>
  </si>
  <si>
    <t>Flange Contact I.D.:</t>
  </si>
  <si>
    <t>Flange Contact O.D.:</t>
  </si>
  <si>
    <t>GORE-TEX® GR - 1/8" thick</t>
  </si>
  <si>
    <t>Expanded PTFE</t>
  </si>
  <si>
    <t>GORE-TEX® TriGuard - 1/8" thick</t>
  </si>
  <si>
    <t>Encapsulated Expanded PTFE</t>
  </si>
  <si>
    <t>GRAPHONIC® - 1/8" thick</t>
  </si>
  <si>
    <t>Corrugated Metal Core with a Flexible Graphite Facing</t>
  </si>
  <si>
    <t>SIGMA 500</t>
  </si>
  <si>
    <t>Application Name</t>
  </si>
  <si>
    <t>Salco P/N</t>
  </si>
  <si>
    <t>Fits</t>
  </si>
  <si>
    <t># Bolts</t>
  </si>
  <si>
    <t>Bolt Size</t>
  </si>
  <si>
    <t>Bolt Circle</t>
  </si>
  <si>
    <t>Gskt Mat'l</t>
  </si>
  <si>
    <t>Gskt P/N</t>
  </si>
  <si>
    <t>Bolt Hole</t>
  </si>
  <si>
    <t>Seal Area</t>
  </si>
  <si>
    <t>Comments</t>
  </si>
  <si>
    <t>Elastomer</t>
  </si>
  <si>
    <t>TC18NG**</t>
  </si>
  <si>
    <t>TC20NG**</t>
  </si>
  <si>
    <t>TC24NGN</t>
  </si>
  <si>
    <t>TMC18***</t>
  </si>
  <si>
    <t>TMC20PPC4A</t>
  </si>
  <si>
    <t>MGD1000</t>
  </si>
  <si>
    <t>Another Bolt Pattern (4) 3/4" bolts on 4 1/8" Circle, same gasket dims</t>
  </si>
  <si>
    <t>TC4DLJWMCS/SS</t>
  </si>
  <si>
    <t>FG6582508</t>
  </si>
  <si>
    <t>Part numbers are for the flange only. Need to look up all assemblies that we sell that use this flange.</t>
  </si>
  <si>
    <t>Standard Downleg for 4" UT/Trinity Ball Valve</t>
  </si>
  <si>
    <t>TC4DLUTCS/DI/SS</t>
  </si>
  <si>
    <t>4" UT/Tr BV</t>
  </si>
  <si>
    <t>FG775**</t>
  </si>
  <si>
    <t>Standard Downleg for 4" Jamesbury Ball Valve</t>
  </si>
  <si>
    <t>TC4DLJCS/DI/SS</t>
  </si>
  <si>
    <t>4" J BV</t>
  </si>
  <si>
    <t>FG90**</t>
  </si>
  <si>
    <t>Flat Face Quick Connect for 4" Jamesbury Ball Valve w/ Full Face Gasket</t>
  </si>
  <si>
    <t>K3SBF/K4IF/TE4ITF/TE4SF/TE4X3SF</t>
  </si>
  <si>
    <t>TE3FG**</t>
  </si>
  <si>
    <t>Raised Face Quick Connect for 4" Jamesbury Ball Valve w/ Full Face Gasket</t>
  </si>
  <si>
    <t>K4SBF</t>
  </si>
  <si>
    <t>TE4FG**</t>
  </si>
  <si>
    <t>K4ITF</t>
  </si>
  <si>
    <t>K4TFG</t>
  </si>
  <si>
    <t>TE4X3IFUT/TE4X3SFUT</t>
  </si>
  <si>
    <t>TE3FGUT*</t>
  </si>
  <si>
    <t>K4SBUTF21</t>
  </si>
  <si>
    <t>Garlock 3300</t>
  </si>
  <si>
    <t>K4BFGG</t>
  </si>
  <si>
    <t>K4SBUTF</t>
  </si>
  <si>
    <t>TE4SUTF</t>
  </si>
  <si>
    <t>FG4675**</t>
  </si>
  <si>
    <t>TE4IUTF</t>
  </si>
  <si>
    <t>Quick Connect for 6" Jamesbury Wafer/Butterfly Valve</t>
  </si>
  <si>
    <t>JK6SF/K4SWF</t>
  </si>
  <si>
    <t>6" Wfr/Btfly</t>
  </si>
  <si>
    <t>JK6FG**</t>
  </si>
  <si>
    <t>Elastomers - 1/16" to 1/4" thick</t>
  </si>
  <si>
    <t>Rubber (EPDM, Nitrile, Butyl, Neoprene, etc.)</t>
  </si>
  <si>
    <t>GYLON® 3500 Series - 1/16" thick (up to 300 psi)</t>
  </si>
  <si>
    <t>GYLON® 3500 Series - 1/16" thick (up to 800 psi)</t>
  </si>
  <si>
    <t>GYLON® 3500 Series - 1/8" thick (up to 300 psi)</t>
  </si>
  <si>
    <t>GYLON® 3500 Series - 1/8" thick (up to 800 psi)</t>
  </si>
  <si>
    <t>GYLON® 3500, 3504, 3510, 3530, 3540, 3545, 3565</t>
  </si>
  <si>
    <t>ASTM A307 Grade A and B</t>
  </si>
  <si>
    <t>ASTM A325 Types 1 and 3</t>
  </si>
  <si>
    <t>ASTM A193 Class 2: Grade B8 and B8C</t>
  </si>
  <si>
    <t>ASTM A193 Grade B7 and B16</t>
  </si>
  <si>
    <t>ASTM A320 Class 1: Grade B8, B8C, B8F, B8M and B8T</t>
  </si>
  <si>
    <t>ASTM A320 Class 2: Grade B8, B8C, B8F and B8T</t>
  </si>
  <si>
    <t>ASTM A320 Grade L7, L7A, L7B and L7C</t>
  </si>
  <si>
    <t>ASTM A193 Class 1: Grade B8, B8C and B8M</t>
  </si>
  <si>
    <t>Bolt Circle:</t>
  </si>
  <si>
    <t>Min. Seating Stress:</t>
  </si>
  <si>
    <t>Max. Seating Stress:</t>
  </si>
  <si>
    <t>Bolt / Stud Grade:</t>
  </si>
  <si>
    <t>Gasket ID</t>
  </si>
  <si>
    <t>Gasket OD</t>
  </si>
  <si>
    <t>Flange ID</t>
  </si>
  <si>
    <t>Flange OD</t>
  </si>
  <si>
    <t>Angle Valve 1"</t>
  </si>
  <si>
    <t>Angle Valve 2" &amp; 3"</t>
  </si>
  <si>
    <t>Manway Cover 18" - 6 Bolts 7/8"</t>
  </si>
  <si>
    <t>Manway Cover 18" - 6 Bolts 1"</t>
  </si>
  <si>
    <t>Manway Cover 18" - 6 Bolts 3/4"</t>
  </si>
  <si>
    <t>Manway Cover 18" - 8 Bolts 3/4"</t>
  </si>
  <si>
    <t>Manway Cover 18" - 8 Bolts 7/8"</t>
  </si>
  <si>
    <t>Manway Cover 20" - 6 Bolts 1"</t>
  </si>
  <si>
    <t>Manway Cover 20" - 6 Bolts 3/4"</t>
  </si>
  <si>
    <t>Manway Cover 20" - 6 Bolts 7/8"</t>
  </si>
  <si>
    <t>Manway Cover 20" - 8 Bolts 1"</t>
  </si>
  <si>
    <t>Manway Cover 20" - 8 Bolts 3/4"</t>
  </si>
  <si>
    <t>Manway Cover 20" - 8 Bolts 7/8"</t>
  </si>
  <si>
    <t>Manway Cover 24" - 8 Bolts 3/4"</t>
  </si>
  <si>
    <t>Manway Cover 24" - 8 Bolts 1"</t>
  </si>
  <si>
    <t>Manway Cover 24" - 8 Bolts 7/8"</t>
  </si>
  <si>
    <t>Standard Downleg for 6" Jamesbury Wafersphere</t>
  </si>
  <si>
    <t>Gauge Device - E19.10</t>
  </si>
  <si>
    <t>Gauge Device - E19.12</t>
  </si>
  <si>
    <t>Gasket Contact ID:</t>
  </si>
  <si>
    <t>Gasket Contact OD:</t>
  </si>
  <si>
    <t>Torque at Max Gasket Stress:</t>
  </si>
  <si>
    <t>Torque at Min Gasket Stress:</t>
  </si>
  <si>
    <t>Min Gasket Stress:</t>
  </si>
  <si>
    <t>Max Gasket Stress:</t>
  </si>
  <si>
    <t>% of Bolt Yield @ Max Gasket Stress:</t>
  </si>
  <si>
    <t>% of Bolt Yield @ Min Gasket Stress:</t>
  </si>
  <si>
    <t>Bolt Stress @ Min Gasket Stress:</t>
  </si>
  <si>
    <t>Bolt Stress @ Max Gasket Stress:</t>
  </si>
  <si>
    <t>% of Bolt Yield @ Min Bolt Stress:</t>
  </si>
  <si>
    <t>Min Bolt Stress:</t>
  </si>
  <si>
    <t>Torque at Min Bolt Stress:</t>
  </si>
  <si>
    <t>Gasket Stress @ Min Bolt Stress:</t>
  </si>
  <si>
    <t>Gasket and Bolt Specifics</t>
  </si>
  <si>
    <t>Minimum Torque:</t>
  </si>
  <si>
    <t>Bolt Stress:</t>
  </si>
  <si>
    <t>% Bolt Yield:</t>
  </si>
  <si>
    <t>Maximum Torque:</t>
  </si>
  <si>
    <t xml:space="preserve"> ft. lbs.</t>
  </si>
  <si>
    <t>Round Iron Flange Quick Connect for 4" UT/Trinity Ball Valve w/ Full Face Gasket</t>
  </si>
  <si>
    <t>Round SS Flange Quick Connect for 4" UT/Trinity Ball Valve w/ Full Face Gasket</t>
  </si>
  <si>
    <t>Round SS Flange Kammed Quick Connect for 4" UT/Trinity Ball Valve w/ Ring Gasket</t>
  </si>
  <si>
    <t>Round SS Flange Threaded Quick Connect for 4" UT/Trinity Ball Valve w/ Ring Gasket</t>
  </si>
  <si>
    <t>Round Iron Flange Threaded Quick Connect for 4" UT/Trinity Ball Valve w/ Ring Gasket</t>
  </si>
  <si>
    <t>Round Flange 3" Reducing Quick Connect for 4" UT/Trinity Ball Valve w/ Full Face Gasket</t>
  </si>
  <si>
    <t>Pressure Relief Valve - Tounge &amp; Groove - E19.14</t>
  </si>
  <si>
    <t>Pressure Relief Valve - Tounge &amp; Groove - E19.16</t>
  </si>
  <si>
    <t>Pressure Relief Valve - Tounge &amp; Groove - E19.18</t>
  </si>
  <si>
    <t>Pressure Relief Valve - Tounge &amp; Groove - E19.20</t>
  </si>
  <si>
    <t>Pressure Relief Valve - Tounge &amp; Groove - E19.22</t>
  </si>
  <si>
    <t>Klinger 4401</t>
  </si>
  <si>
    <t>Klinger TC2000</t>
  </si>
  <si>
    <t>Virgin PTFE</t>
  </si>
  <si>
    <t>Virgin PTFE, Glass Filled</t>
  </si>
  <si>
    <t>Hollow Glass Mircosphere Filled PTFE</t>
  </si>
  <si>
    <t>Synthetic Fiber with Nitrile Binder</t>
  </si>
  <si>
    <t>Teadit NA-1001</t>
  </si>
  <si>
    <t>Barium Sulfate Filled Virgin PTFE</t>
  </si>
  <si>
    <t>Hollow Glass Mircosphere Filled Virgin PTFE</t>
  </si>
  <si>
    <t>Silica Filled Virgin PTFE</t>
  </si>
  <si>
    <t>DURABLA Black</t>
  </si>
  <si>
    <t>Aramid Fiber with Nitrile Binder</t>
  </si>
  <si>
    <t>TEALON 1570</t>
  </si>
  <si>
    <t>TEALON 1580</t>
  </si>
  <si>
    <t>TEALON 1590</t>
  </si>
  <si>
    <t>Compressed Asbestos</t>
  </si>
  <si>
    <t>Custom Applications</t>
  </si>
  <si>
    <t>Enter the required information in the yellow cells.</t>
  </si>
  <si>
    <t>Enter the required information in the yellow cells. If none of the applications match, use the "Custom" tab.</t>
  </si>
  <si>
    <t>Torque Calculator</t>
  </si>
  <si>
    <t xml:space="preserve">To use the Torque Calculator, enter the appropriate information in the yellow shaded cells. Many of the cells contain drop down arrows from which the information should be chosen. Blue shaded cells will automatically fill in when corresponding data is entered into the yellow cells. </t>
  </si>
  <si>
    <t>Red attention boxes will appear if there is too much or too little gasket seating stress or if the upper or lower limits of the bolt yield stress are exceeded. A recommendation to change the gasket or bolt material will appear.</t>
  </si>
  <si>
    <t>You must evaluate and determine whether a material is suitable for your intended application.  We recommend that you perform tests to determine the propriety of a material for your particular purpose prior to use.</t>
  </si>
  <si>
    <t>In NO case shall anything contained in this document be considered a part of our terms and conditions of sale.</t>
  </si>
  <si>
    <t>Statements or suggestions concerning the possible use of any material are made WITHOUT representation of warranty that any such use is free of patent infringement.  We do NOT recommend that any patent be infringed.  The user should NOT assume that all safety measures are indicated or that other measures may not be required.</t>
  </si>
  <si>
    <t>All statements, data, and information contained herein are believed to be accurate and reliable but are presented without guarantee, warranty, or responsibility of any kind, expressed or implied.  You expressly understand and agree that Salco Products, Inc. assumes NO obligation or liability for the statements, data, and information given.  Further, you expressly understand and agree that all results which may be obtained from any use of this document are to be accepted by you at your risk alone.  Salco Products, Inc. hereby DISCLAIMS ALL liability for any use of this document.</t>
  </si>
  <si>
    <t>The "Yield" tab charts the published yield stresses for various bolt materials and the tensile stress area for UNC bolt sizes 1/4" up to 3".</t>
  </si>
  <si>
    <t>Any questions concerning the Salco Products Torque Calculator should be directed to the Engineering Department at (630) 783-2570.</t>
  </si>
  <si>
    <t>Version 1.0</t>
  </si>
  <si>
    <t>DURLON® 8000 Series - 1/8" thick</t>
  </si>
  <si>
    <t>Version 1.0.1</t>
  </si>
  <si>
    <t>Original Release</t>
  </si>
  <si>
    <t>Changed Durlon 8500 to Durlon 8000 Series</t>
  </si>
  <si>
    <t>Changed Durlon 9000 to Durlon 9000 Series</t>
  </si>
  <si>
    <t>Non-Asbestos Series: 8300, 8400, 8500, 8600, 8700</t>
  </si>
  <si>
    <t>Gasket Category:</t>
  </si>
  <si>
    <t>Specific Gasket Material:</t>
  </si>
  <si>
    <t>Car Number:</t>
  </si>
  <si>
    <t>Shop Location:</t>
  </si>
  <si>
    <t>Commodity:</t>
  </si>
  <si>
    <t>Final Torque:</t>
  </si>
  <si>
    <t>Torque After First Pass:</t>
  </si>
  <si>
    <t>Torque After Second Pass:</t>
  </si>
  <si>
    <t>Bolt/Stud Material:</t>
  </si>
  <si>
    <t>Version 1.1</t>
  </si>
  <si>
    <t>Added Print Pages and "Clear Form" Buttons</t>
  </si>
  <si>
    <t>Gasket Stress is below the miniumum recommended value!</t>
  </si>
  <si>
    <t>Bolt Stress is above 90% of the material's published yield stress!</t>
  </si>
  <si>
    <t>Gasket stress is greater than the maximum allowable stress!</t>
  </si>
  <si>
    <t>Rsd Face OD</t>
  </si>
  <si>
    <t>Full Face/Ring Gasket:</t>
  </si>
  <si>
    <t>Full Face Gasket</t>
  </si>
  <si>
    <t>Ring Gasket</t>
  </si>
  <si>
    <t>Contact Area</t>
  </si>
  <si>
    <t>ANSI Flanges</t>
  </si>
  <si>
    <t>Flange Rating &amp; Size:</t>
  </si>
  <si>
    <t>Inorganic Filled PTFE</t>
  </si>
  <si>
    <t>Carbon Filled PTFE</t>
  </si>
  <si>
    <t>DURLON® 9200W / 9400 / 9600 - 1/8" thick</t>
  </si>
  <si>
    <t>DURLON® 9000 / 9000N - 1/8" thick</t>
  </si>
  <si>
    <t>Barium Sulfate Filled PTFE/ Carbon Filled PTFE / Expanded PTFE</t>
  </si>
  <si>
    <t>1/2"</t>
  </si>
  <si>
    <t>3/4"</t>
  </si>
  <si>
    <t>1"</t>
  </si>
  <si>
    <t>1 1/4"</t>
  </si>
  <si>
    <t>1 1/2"</t>
  </si>
  <si>
    <t>2"</t>
  </si>
  <si>
    <t>2 1/2"</t>
  </si>
  <si>
    <t>3"</t>
  </si>
  <si>
    <t>3 1/2"</t>
  </si>
  <si>
    <t>4"</t>
  </si>
  <si>
    <t>5"</t>
  </si>
  <si>
    <t>6"</t>
  </si>
  <si>
    <t>8"</t>
  </si>
  <si>
    <t>10"</t>
  </si>
  <si>
    <t>12"</t>
  </si>
  <si>
    <t>14"</t>
  </si>
  <si>
    <t>16"</t>
  </si>
  <si>
    <t>18"</t>
  </si>
  <si>
    <t>20"</t>
  </si>
  <si>
    <t>24"</t>
  </si>
  <si>
    <t xml:space="preserve">  </t>
  </si>
  <si>
    <t>d</t>
  </si>
  <si>
    <t>It is recommended that you use a stronger bolting material and/or a gasket material that requires less seating stress.</t>
  </si>
  <si>
    <t>It is recommended that you use a bolting material with a lower yield strength and/or a gasket material with a higher minimum seating stress!</t>
  </si>
  <si>
    <t xml:space="preserve">) 150# </t>
  </si>
  <si>
    <t xml:space="preserve">) 300# </t>
  </si>
  <si>
    <t>GRAFOIL® GHE</t>
  </si>
  <si>
    <t>GRAFOIL® GHR</t>
  </si>
  <si>
    <t>Graphite with 316/316L SS Tanged Insert</t>
  </si>
  <si>
    <t>Graphite with 316/316L SS Insert</t>
  </si>
  <si>
    <t>Pressure Plate 18" - E6</t>
  </si>
  <si>
    <t>Pressure Plate 20" - E8 &amp; E10</t>
  </si>
  <si>
    <t>Pressure Plate 22" - E12</t>
  </si>
  <si>
    <t>Version 2.0</t>
  </si>
  <si>
    <t>Added ANSI Flange Pages</t>
  </si>
  <si>
    <t>Added a few materials</t>
  </si>
  <si>
    <t>Bottom Outlet Valve - Jamesbury AZFRL, SUZRL, AZFRC, SUZRC, 5RET, WSRR, WSRF</t>
  </si>
  <si>
    <t>Bottom Outlet Valve - SALCO Products</t>
  </si>
  <si>
    <t>This file contains macros that aide in use of the spreadsheet. If macros have been disabled, you will still be able to use the spreadsheet. Extra pages are provided so that additional shop information can be printed on the same sheet as the torque numbers.</t>
  </si>
  <si>
    <t>Version 2.1</t>
  </si>
  <si>
    <t>Updated UNC Bolt Root Area to UNC Tensile Stress Area</t>
  </si>
  <si>
    <t>UNC Tensile Stress Area:</t>
  </si>
  <si>
    <t>Bolt Grade:                              UNC Tensile Stress Area:</t>
  </si>
  <si>
    <t>Version 2.2</t>
  </si>
  <si>
    <t>Error in gasket description and stress lookup function on Custom sheet</t>
  </si>
  <si>
    <t>Version 2.2.1</t>
  </si>
  <si>
    <t>Corrupted image in file.</t>
  </si>
  <si>
    <t>ASTM A574</t>
  </si>
  <si>
    <t>Gasket Stress @ Max Bolt Stress:</t>
  </si>
  <si>
    <t>Torque at Max Bolt Stress:</t>
  </si>
  <si>
    <t>Max Bolt Stress:</t>
  </si>
  <si>
    <t>% of Bolt Yield @ Max Bolt Stress:</t>
  </si>
  <si>
    <t>Bolt stress is less than the recommended 40% of bolt yield!</t>
  </si>
  <si>
    <t>Version 2.3</t>
  </si>
  <si>
    <t>Added ASTM A574 to chart. Updated Elastomer max stress. Bolt stretch was 45%.Removed 10-bolt manway covers</t>
  </si>
  <si>
    <t>Version 2.3.1</t>
  </si>
  <si>
    <t>Update Salco Graphics</t>
  </si>
  <si>
    <t>Internal Pressure</t>
  </si>
  <si>
    <t>psi</t>
  </si>
  <si>
    <t>Internal Force</t>
  </si>
  <si>
    <t>Gasket Force</t>
  </si>
  <si>
    <t>Internal Pressure:</t>
  </si>
  <si>
    <t>The Salco Products Torque Calculator is designed to aid in selecting the proper torque values for certain rail car applications. The "Standard Applications" tab can be used for typical applications where all dimensional values are automatically filled in. In the "Custom Applications" and "Manway Custom Applications" tabs, the user fills in all dimensional values.</t>
  </si>
  <si>
    <t>Manway Custom Applications</t>
  </si>
  <si>
    <t>Use "Manway Custom Applications" tab for manway use.</t>
  </si>
  <si>
    <t>Version 2.3.3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</si>
</sst>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numFmt numFmtId="165" formatCode="_(* #,##0_);_(* \(#,##0\);_(* &quot;-&quot;??_);_(@_)"/>
    <numFmt numFmtId="166" formatCode="0.000"/>
    <numFmt numFmtId="167" formatCode="0.0%"/>
    <numFmt numFmtId="168" formatCode="0.00000"/>
    <numFmt numFmtId="169" formatCode="0.0000"/>
    <numFmt numFmtId="170" formatCode="0.0"/>
    <numFmt numFmtId="171" formatCode="_(* #,##0.0_);_(* \(#,##0.0\);_(* &quot;-&quot;?_);_(@_)"/>
    <numFmt numFmtId="172" formatCode="_(* #,##0_);_(* \(#,##0\);_(* &quot;-&quot;?_);_(@_)"/>
    <numFmt numFmtId="173" formatCode="_(* #,##0.000_);_(* \(#,##0.000\);_(* &quot;-&quot;???_);_(@_)"/>
    <numFmt numFmtId="174" formatCode="&quot;Yes&quot;;&quot;Yes&quot;;&quot;No&quot;"/>
    <numFmt numFmtId="175" formatCode="&quot;True&quot;;&quot;True&quot;;&quot;False&quot;"/>
    <numFmt numFmtId="176" formatCode="&quot;On&quot;;&quot;On&quot;;&quot;Off&quot;"/>
    <numFmt numFmtId="177" formatCode="#\ ?/8"/>
    <numFmt numFmtId="178" formatCode="0.0000000"/>
    <numFmt numFmtId="179" formatCode="0.00000000"/>
    <numFmt numFmtId="180" formatCode="0.000000"/>
    <numFmt numFmtId="181" formatCode="#,##0.0"/>
    <numFmt numFmtId="182" formatCode="#,##0.000"/>
    <numFmt numFmtId="183" formatCode="#,##0.0000"/>
  </numFmts>
  <fonts count="49">
    <font>
      <sz val="10"/>
      <name val="Arial"/>
      <family val="0"/>
    </font>
    <font>
      <b/>
      <sz val="10"/>
      <name val="Arial"/>
      <family val="2"/>
    </font>
    <font>
      <b/>
      <sz val="8"/>
      <name val="Arial"/>
      <family val="2"/>
    </font>
    <font>
      <b/>
      <sz val="12"/>
      <name val="Arial"/>
      <family val="2"/>
    </font>
    <font>
      <b/>
      <i/>
      <u val="single"/>
      <sz val="10"/>
      <name val="Arial"/>
      <family val="2"/>
    </font>
    <font>
      <sz val="8"/>
      <name val="Arial"/>
      <family val="2"/>
    </font>
    <font>
      <sz val="20"/>
      <name val="Arial"/>
      <family val="2"/>
    </font>
    <font>
      <sz val="14"/>
      <name val="Arial"/>
      <family val="2"/>
    </font>
    <font>
      <b/>
      <i/>
      <u val="single"/>
      <sz val="14"/>
      <name val="Arial"/>
      <family val="2"/>
    </font>
    <font>
      <b/>
      <sz val="14"/>
      <name val="Arial"/>
      <family val="2"/>
    </font>
    <font>
      <sz val="13"/>
      <name val="Arial"/>
      <family val="2"/>
    </font>
    <font>
      <b/>
      <sz val="22"/>
      <name val="Arial"/>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ck"/>
      <right style="thick"/>
      <top style="thick"/>
      <bottom style="thick"/>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5">
    <xf numFmtId="0" fontId="0" fillId="0" borderId="0" xfId="0" applyAlignment="1">
      <alignment/>
    </xf>
    <xf numFmtId="0" fontId="0" fillId="0" borderId="0" xfId="0" applyFill="1" applyBorder="1" applyAlignment="1">
      <alignment/>
    </xf>
    <xf numFmtId="165" fontId="0" fillId="0" borderId="0" xfId="42" applyNumberFormat="1" applyFont="1" applyFill="1" applyBorder="1" applyAlignment="1">
      <alignment horizontal="center"/>
    </xf>
    <xf numFmtId="0" fontId="0" fillId="0" borderId="0" xfId="0" applyNumberFormat="1" applyFill="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pplyProtection="1">
      <alignment horizontal="center"/>
      <protection hidden="1"/>
    </xf>
    <xf numFmtId="0" fontId="1" fillId="0" borderId="0" xfId="0" applyFont="1" applyFill="1" applyBorder="1" applyAlignment="1">
      <alignment horizontal="right"/>
    </xf>
    <xf numFmtId="0" fontId="0" fillId="33" borderId="0" xfId="0" applyFont="1" applyFill="1" applyBorder="1" applyAlignment="1" applyProtection="1">
      <alignment/>
      <protection hidden="1"/>
    </xf>
    <xf numFmtId="0" fontId="0" fillId="33" borderId="0" xfId="0" applyFont="1" applyFill="1" applyBorder="1" applyAlignment="1" applyProtection="1">
      <alignment/>
      <protection hidden="1"/>
    </xf>
    <xf numFmtId="0" fontId="0" fillId="0" borderId="0" xfId="0" applyFont="1" applyFill="1" applyBorder="1" applyAlignment="1" applyProtection="1">
      <alignment/>
      <protection hidden="1"/>
    </xf>
    <xf numFmtId="0" fontId="1" fillId="0" borderId="0" xfId="0" applyFont="1" applyAlignment="1" applyProtection="1">
      <alignment/>
      <protection hidden="1"/>
    </xf>
    <xf numFmtId="0" fontId="0" fillId="33" borderId="0" xfId="0" applyFont="1" applyFill="1" applyBorder="1" applyAlignment="1" applyProtection="1">
      <alignment horizontal="center" vertical="top"/>
      <protection hidden="1"/>
    </xf>
    <xf numFmtId="0" fontId="0" fillId="0" borderId="0" xfId="0" applyAlignment="1" applyProtection="1">
      <alignment/>
      <protection hidden="1"/>
    </xf>
    <xf numFmtId="0" fontId="0" fillId="33" borderId="0" xfId="0" applyFont="1" applyFill="1" applyBorder="1" applyAlignment="1" applyProtection="1">
      <alignment horizontal="right"/>
      <protection hidden="1"/>
    </xf>
    <xf numFmtId="166" fontId="0" fillId="34" borderId="10" xfId="0" applyNumberFormat="1" applyFont="1" applyFill="1" applyBorder="1" applyAlignment="1" applyProtection="1">
      <alignment/>
      <protection hidden="1"/>
    </xf>
    <xf numFmtId="0" fontId="0" fillId="0" borderId="0" xfId="0" applyFont="1" applyFill="1" applyBorder="1" applyAlignment="1" applyProtection="1">
      <alignment horizontal="right"/>
      <protection hidden="1"/>
    </xf>
    <xf numFmtId="166" fontId="0" fillId="0" borderId="0" xfId="0" applyNumberFormat="1" applyFont="1" applyFill="1" applyBorder="1" applyAlignment="1" applyProtection="1">
      <alignment horizontal="right"/>
      <protection hidden="1"/>
    </xf>
    <xf numFmtId="0" fontId="0" fillId="0" borderId="0" xfId="0" applyFont="1" applyFill="1" applyBorder="1" applyAlignment="1" applyProtection="1">
      <alignment/>
      <protection hidden="1"/>
    </xf>
    <xf numFmtId="1" fontId="0" fillId="34" borderId="11" xfId="0" applyNumberFormat="1" applyFont="1" applyFill="1" applyBorder="1" applyAlignment="1" applyProtection="1">
      <alignment horizontal="right"/>
      <protection hidden="1"/>
    </xf>
    <xf numFmtId="13" fontId="0" fillId="34" borderId="11" xfId="0" applyNumberFormat="1" applyFont="1" applyFill="1" applyBorder="1" applyAlignment="1" applyProtection="1">
      <alignment horizontal="right"/>
      <protection hidden="1"/>
    </xf>
    <xf numFmtId="166" fontId="0" fillId="34" borderId="11" xfId="0" applyNumberFormat="1" applyFont="1" applyFill="1" applyBorder="1" applyAlignment="1" applyProtection="1">
      <alignment horizontal="right"/>
      <protection hidden="1"/>
    </xf>
    <xf numFmtId="0" fontId="1" fillId="33" borderId="0" xfId="0" applyFont="1" applyFill="1" applyBorder="1" applyAlignment="1" applyProtection="1">
      <alignment horizontal="right"/>
      <protection hidden="1"/>
    </xf>
    <xf numFmtId="9" fontId="0" fillId="0" borderId="0" xfId="57" applyFont="1" applyFill="1" applyBorder="1" applyAlignment="1" applyProtection="1">
      <alignment horizontal="center"/>
      <protection hidden="1"/>
    </xf>
    <xf numFmtId="170"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protection hidden="1"/>
    </xf>
    <xf numFmtId="167" fontId="0" fillId="0" borderId="0" xfId="57" applyNumberFormat="1" applyFont="1" applyFill="1" applyBorder="1" applyAlignment="1" applyProtection="1">
      <alignment/>
      <protection hidden="1"/>
    </xf>
    <xf numFmtId="0" fontId="2" fillId="0" borderId="0" xfId="0" applyFont="1" applyFill="1" applyBorder="1" applyAlignment="1" applyProtection="1">
      <alignment horizontal="center"/>
      <protection hidden="1"/>
    </xf>
    <xf numFmtId="172" fontId="0" fillId="0" borderId="0" xfId="0" applyNumberFormat="1" applyFont="1" applyFill="1" applyBorder="1" applyAlignment="1" applyProtection="1">
      <alignment/>
      <protection hidden="1"/>
    </xf>
    <xf numFmtId="166" fontId="0" fillId="34" borderId="11" xfId="0" applyNumberFormat="1" applyFont="1" applyFill="1" applyBorder="1" applyAlignment="1" applyProtection="1">
      <alignment horizontal="center"/>
      <protection hidden="1"/>
    </xf>
    <xf numFmtId="3" fontId="0" fillId="34" borderId="11" xfId="0" applyNumberFormat="1" applyFont="1" applyFill="1" applyBorder="1" applyAlignment="1" applyProtection="1">
      <alignment/>
      <protection hidden="1"/>
    </xf>
    <xf numFmtId="9" fontId="0" fillId="34" borderId="11" xfId="57" applyFont="1" applyFill="1" applyBorder="1" applyAlignment="1" applyProtection="1">
      <alignment/>
      <protection hidden="1"/>
    </xf>
    <xf numFmtId="0" fontId="0" fillId="33" borderId="0" xfId="0" applyFill="1" applyBorder="1" applyAlignment="1" applyProtection="1">
      <alignment horizontal="center" vertical="center" wrapText="1"/>
      <protection hidden="1"/>
    </xf>
    <xf numFmtId="0" fontId="0" fillId="33" borderId="0" xfId="0" applyFill="1" applyAlignment="1" applyProtection="1">
      <alignment wrapText="1"/>
      <protection hidden="1"/>
    </xf>
    <xf numFmtId="0" fontId="1" fillId="0" borderId="12" xfId="0" applyFont="1" applyBorder="1" applyAlignment="1" applyProtection="1">
      <alignment/>
      <protection hidden="1"/>
    </xf>
    <xf numFmtId="2" fontId="0" fillId="0" borderId="0" xfId="0" applyNumberFormat="1" applyAlignment="1" applyProtection="1">
      <alignment/>
      <protection hidden="1"/>
    </xf>
    <xf numFmtId="0" fontId="0" fillId="0" borderId="0" xfId="0" applyFont="1" applyAlignment="1" applyProtection="1">
      <alignment/>
      <protection hidden="1"/>
    </xf>
    <xf numFmtId="2" fontId="0" fillId="0" borderId="0" xfId="0" applyNumberFormat="1" applyBorder="1" applyAlignment="1" applyProtection="1">
      <alignment/>
      <protection hidden="1"/>
    </xf>
    <xf numFmtId="0" fontId="0" fillId="0" borderId="0" xfId="0" applyBorder="1" applyAlignment="1" applyProtection="1">
      <alignment/>
      <protection hidden="1"/>
    </xf>
    <xf numFmtId="165" fontId="0" fillId="34" borderId="13" xfId="42" applyNumberFormat="1" applyFont="1" applyFill="1" applyBorder="1" applyAlignment="1" applyProtection="1">
      <alignment horizontal="right"/>
      <protection hidden="1"/>
    </xf>
    <xf numFmtId="165" fontId="0" fillId="34" borderId="10" xfId="42" applyNumberFormat="1" applyFont="1" applyFill="1" applyBorder="1" applyAlignment="1" applyProtection="1">
      <alignment horizontal="right"/>
      <protection hidden="1"/>
    </xf>
    <xf numFmtId="165" fontId="0" fillId="34" borderId="10" xfId="42" applyNumberFormat="1" applyFont="1" applyFill="1" applyBorder="1" applyAlignment="1" applyProtection="1">
      <alignment horizontal="center"/>
      <protection hidden="1"/>
    </xf>
    <xf numFmtId="0" fontId="3" fillId="33" borderId="0" xfId="0" applyFont="1" applyFill="1" applyBorder="1" applyAlignment="1" applyProtection="1">
      <alignment/>
      <protection hidden="1"/>
    </xf>
    <xf numFmtId="0" fontId="3" fillId="33" borderId="0" xfId="0" applyFont="1" applyFill="1" applyBorder="1" applyAlignment="1" applyProtection="1">
      <alignment horizontal="left"/>
      <protection hidden="1"/>
    </xf>
    <xf numFmtId="2" fontId="0" fillId="35" borderId="11" xfId="0" applyNumberFormat="1" applyFont="1" applyFill="1" applyBorder="1" applyAlignment="1" applyProtection="1">
      <alignment horizontal="center"/>
      <protection hidden="1" locked="0"/>
    </xf>
    <xf numFmtId="13" fontId="1" fillId="0" borderId="0" xfId="0" applyNumberFormat="1" applyFont="1" applyFill="1" applyBorder="1" applyAlignment="1">
      <alignment horizontal="center"/>
    </xf>
    <xf numFmtId="3" fontId="0" fillId="34" borderId="10" xfId="0" applyNumberFormat="1" applyFont="1" applyFill="1" applyBorder="1" applyAlignment="1" applyProtection="1">
      <alignment/>
      <protection hidden="1"/>
    </xf>
    <xf numFmtId="166" fontId="0" fillId="35" borderId="11" xfId="0" applyNumberFormat="1" applyFont="1" applyFill="1" applyBorder="1" applyAlignment="1" applyProtection="1">
      <alignment/>
      <protection hidden="1" locked="0"/>
    </xf>
    <xf numFmtId="166" fontId="0" fillId="35" borderId="10" xfId="0" applyNumberFormat="1" applyFont="1" applyFill="1" applyBorder="1" applyAlignment="1" applyProtection="1">
      <alignment/>
      <protection hidden="1" locked="0"/>
    </xf>
    <xf numFmtId="1" fontId="0" fillId="35" borderId="11" xfId="0" applyNumberFormat="1" applyFont="1" applyFill="1" applyBorder="1" applyAlignment="1" applyProtection="1">
      <alignment horizontal="right"/>
      <protection hidden="1" locked="0"/>
    </xf>
    <xf numFmtId="13" fontId="0" fillId="35" borderId="11" xfId="0" applyNumberFormat="1" applyFont="1" applyFill="1" applyBorder="1" applyAlignment="1" applyProtection="1">
      <alignment horizontal="right"/>
      <protection hidden="1" locked="0"/>
    </xf>
    <xf numFmtId="0" fontId="1" fillId="0" borderId="0" xfId="0" applyFont="1" applyFill="1" applyBorder="1" applyAlignment="1" applyProtection="1">
      <alignment horizontal="left"/>
      <protection hidden="1"/>
    </xf>
    <xf numFmtId="170" fontId="0" fillId="34" borderId="14" xfId="0" applyNumberFormat="1" applyFont="1" applyFill="1" applyBorder="1" applyAlignment="1" applyProtection="1">
      <alignment/>
      <protection hidden="1"/>
    </xf>
    <xf numFmtId="0" fontId="4" fillId="0" borderId="0" xfId="0" applyFont="1" applyAlignment="1">
      <alignment/>
    </xf>
    <xf numFmtId="0" fontId="0" fillId="33" borderId="0" xfId="0" applyFill="1" applyAlignment="1" applyProtection="1">
      <alignment/>
      <protection hidden="1"/>
    </xf>
    <xf numFmtId="0" fontId="0" fillId="33" borderId="0" xfId="0" applyFill="1" applyAlignment="1" applyProtection="1">
      <alignment horizontal="centerContinuous"/>
      <protection hidden="1"/>
    </xf>
    <xf numFmtId="0" fontId="0" fillId="33" borderId="0" xfId="0" applyFill="1" applyAlignment="1" applyProtection="1">
      <alignment horizontal="centerContinuous" wrapText="1"/>
      <protection hidden="1"/>
    </xf>
    <xf numFmtId="0" fontId="5" fillId="33" borderId="0" xfId="0" applyFont="1" applyFill="1" applyAlignment="1" applyProtection="1">
      <alignment vertical="center"/>
      <protection hidden="1"/>
    </xf>
    <xf numFmtId="0" fontId="0" fillId="33" borderId="0" xfId="0" applyFill="1" applyAlignment="1" applyProtection="1">
      <alignment vertical="center"/>
      <protection hidden="1"/>
    </xf>
    <xf numFmtId="0" fontId="5" fillId="33" borderId="0" xfId="0" applyFont="1" applyFill="1" applyAlignment="1" applyProtection="1">
      <alignment horizontal="centerContinuous" vertical="center" wrapText="1"/>
      <protection hidden="1"/>
    </xf>
    <xf numFmtId="0" fontId="0" fillId="0" borderId="0" xfId="0" applyFill="1" applyBorder="1" applyAlignment="1" applyProtection="1">
      <alignment/>
      <protection hidden="1"/>
    </xf>
    <xf numFmtId="0" fontId="0" fillId="0" borderId="0" xfId="0"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right"/>
      <protection hidden="1"/>
    </xf>
    <xf numFmtId="166" fontId="7" fillId="0" borderId="0" xfId="0" applyNumberFormat="1" applyFont="1" applyFill="1" applyBorder="1" applyAlignment="1" applyProtection="1">
      <alignment horizontal="right"/>
      <protection hidden="1"/>
    </xf>
    <xf numFmtId="0" fontId="7" fillId="0" borderId="0" xfId="0" applyFont="1" applyFill="1" applyBorder="1" applyAlignment="1" applyProtection="1">
      <alignment/>
      <protection hidden="1"/>
    </xf>
    <xf numFmtId="170" fontId="7" fillId="0" borderId="0" xfId="0" applyNumberFormat="1" applyFont="1" applyFill="1" applyBorder="1" applyAlignment="1" applyProtection="1">
      <alignment/>
      <protection hidden="1"/>
    </xf>
    <xf numFmtId="9" fontId="7" fillId="0" borderId="0" xfId="57" applyFont="1" applyFill="1" applyBorder="1" applyAlignment="1" applyProtection="1">
      <alignment horizontal="center"/>
      <protection hidden="1"/>
    </xf>
    <xf numFmtId="170" fontId="7" fillId="0" borderId="0" xfId="0" applyNumberFormat="1" applyFont="1" applyFill="1" applyBorder="1" applyAlignment="1" applyProtection="1">
      <alignment horizontal="right"/>
      <protection hidden="1"/>
    </xf>
    <xf numFmtId="3" fontId="7" fillId="0" borderId="0" xfId="0" applyNumberFormat="1" applyFont="1" applyFill="1" applyBorder="1" applyAlignment="1" applyProtection="1">
      <alignment/>
      <protection hidden="1"/>
    </xf>
    <xf numFmtId="167" fontId="7" fillId="0" borderId="0" xfId="57" applyNumberFormat="1" applyFont="1" applyFill="1" applyBorder="1" applyAlignment="1" applyProtection="1">
      <alignment/>
      <protection hidden="1"/>
    </xf>
    <xf numFmtId="172" fontId="7" fillId="0" borderId="0" xfId="0" applyNumberFormat="1" applyFont="1" applyFill="1" applyBorder="1" applyAlignment="1" applyProtection="1">
      <alignment/>
      <protection hidden="1"/>
    </xf>
    <xf numFmtId="0" fontId="9" fillId="0" borderId="0" xfId="0" applyFont="1" applyFill="1" applyBorder="1" applyAlignment="1" applyProtection="1">
      <alignment horizontal="center"/>
      <protection hidden="1"/>
    </xf>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9" fontId="7" fillId="0" borderId="0" xfId="57" applyFont="1" applyFill="1" applyBorder="1" applyAlignment="1" applyProtection="1">
      <alignment/>
      <protection hidden="1"/>
    </xf>
    <xf numFmtId="0" fontId="7" fillId="0" borderId="0" xfId="0" applyFont="1" applyFill="1" applyBorder="1" applyAlignment="1" applyProtection="1">
      <alignment wrapText="1"/>
      <protection hidden="1"/>
    </xf>
    <xf numFmtId="0" fontId="7" fillId="33" borderId="0" xfId="0" applyFont="1" applyFill="1" applyBorder="1" applyAlignment="1" applyProtection="1">
      <alignment/>
      <protection hidden="1"/>
    </xf>
    <xf numFmtId="0" fontId="7" fillId="33" borderId="0" xfId="0" applyFont="1" applyFill="1" applyBorder="1" applyAlignment="1" applyProtection="1">
      <alignment horizontal="center" vertical="top"/>
      <protection hidden="1"/>
    </xf>
    <xf numFmtId="0" fontId="7" fillId="33" borderId="0" xfId="0" applyFont="1" applyFill="1" applyBorder="1" applyAlignment="1" applyProtection="1">
      <alignment horizontal="right"/>
      <protection hidden="1"/>
    </xf>
    <xf numFmtId="0" fontId="7" fillId="33" borderId="0" xfId="0" applyFont="1" applyFill="1" applyBorder="1" applyAlignment="1" applyProtection="1">
      <alignment horizontal="right" vertical="center"/>
      <protection hidden="1"/>
    </xf>
    <xf numFmtId="0" fontId="7" fillId="33" borderId="0" xfId="0" applyFont="1" applyFill="1" applyBorder="1" applyAlignment="1" applyProtection="1">
      <alignment/>
      <protection hidden="1"/>
    </xf>
    <xf numFmtId="0" fontId="0" fillId="33" borderId="0" xfId="0" applyFill="1" applyAlignment="1" applyProtection="1">
      <alignment/>
      <protection hidden="1"/>
    </xf>
    <xf numFmtId="0" fontId="7" fillId="33" borderId="0" xfId="0" applyFont="1" applyFill="1" applyAlignment="1" applyProtection="1">
      <alignment vertical="center" wrapText="1"/>
      <protection hidden="1"/>
    </xf>
    <xf numFmtId="0" fontId="7" fillId="33" borderId="0" xfId="0" applyFont="1" applyFill="1" applyAlignment="1" applyProtection="1">
      <alignment horizontal="right" vertical="center"/>
      <protection hidden="1"/>
    </xf>
    <xf numFmtId="0" fontId="0" fillId="33" borderId="0" xfId="0" applyFill="1" applyAlignment="1" applyProtection="1">
      <alignment vertical="center" wrapText="1"/>
      <protection hidden="1"/>
    </xf>
    <xf numFmtId="0" fontId="8" fillId="0" borderId="0" xfId="0" applyFont="1" applyAlignment="1" applyProtection="1">
      <alignment/>
      <protection hidden="1"/>
    </xf>
    <xf numFmtId="0" fontId="0" fillId="33" borderId="15" xfId="0" applyFill="1" applyBorder="1" applyAlignment="1" applyProtection="1">
      <alignment vertical="center"/>
      <protection hidden="1"/>
    </xf>
    <xf numFmtId="0" fontId="0" fillId="33" borderId="12" xfId="0" applyFill="1" applyBorder="1" applyAlignment="1" applyProtection="1">
      <alignment vertical="center"/>
      <protection hidden="1"/>
    </xf>
    <xf numFmtId="0" fontId="5" fillId="33" borderId="12" xfId="0" applyFont="1" applyFill="1" applyBorder="1" applyAlignment="1" applyProtection="1">
      <alignment/>
      <protection hidden="1"/>
    </xf>
    <xf numFmtId="0" fontId="0" fillId="33" borderId="0" xfId="0" applyFill="1" applyBorder="1" applyAlignment="1" applyProtection="1">
      <alignment vertical="center"/>
      <protection hidden="1"/>
    </xf>
    <xf numFmtId="0" fontId="0" fillId="33" borderId="0" xfId="0" applyFill="1" applyBorder="1" applyAlignment="1" applyProtection="1">
      <alignment/>
      <protection hidden="1"/>
    </xf>
    <xf numFmtId="0" fontId="0" fillId="33" borderId="12" xfId="0" applyFill="1" applyBorder="1" applyAlignment="1" applyProtection="1">
      <alignment/>
      <protection hidden="1"/>
    </xf>
    <xf numFmtId="0" fontId="0" fillId="33" borderId="15" xfId="0" applyFill="1" applyBorder="1" applyAlignment="1" applyProtection="1">
      <alignment/>
      <protection hidden="1"/>
    </xf>
    <xf numFmtId="14" fontId="0" fillId="33" borderId="15" xfId="0" applyNumberFormat="1" applyFill="1" applyBorder="1" applyAlignment="1" applyProtection="1">
      <alignment/>
      <protection hidden="1"/>
    </xf>
    <xf numFmtId="1" fontId="7" fillId="34" borderId="0" xfId="0" applyNumberFormat="1" applyFont="1" applyFill="1" applyBorder="1" applyAlignment="1" applyProtection="1">
      <alignment/>
      <protection hidden="1"/>
    </xf>
    <xf numFmtId="0" fontId="7" fillId="34" borderId="0" xfId="0" applyFont="1" applyFill="1" applyBorder="1" applyAlignment="1" applyProtection="1">
      <alignment/>
      <protection hidden="1"/>
    </xf>
    <xf numFmtId="0" fontId="0" fillId="0" borderId="0" xfId="0" applyFont="1" applyFill="1" applyBorder="1" applyAlignment="1" applyProtection="1">
      <alignment wrapText="1"/>
      <protection hidden="1"/>
    </xf>
    <xf numFmtId="9" fontId="0" fillId="33" borderId="0" xfId="57" applyFont="1" applyFill="1" applyBorder="1" applyAlignment="1" applyProtection="1">
      <alignment/>
      <protection hidden="1"/>
    </xf>
    <xf numFmtId="167" fontId="0" fillId="33" borderId="0" xfId="57" applyNumberFormat="1" applyFont="1" applyFill="1" applyBorder="1" applyAlignment="1" applyProtection="1">
      <alignment/>
      <protection hidden="1"/>
    </xf>
    <xf numFmtId="170" fontId="0" fillId="0" borderId="0" xfId="0" applyNumberFormat="1" applyFont="1" applyFill="1" applyBorder="1" applyAlignment="1" applyProtection="1">
      <alignment/>
      <protection hidden="1"/>
    </xf>
    <xf numFmtId="170" fontId="0" fillId="33" borderId="0" xfId="0" applyNumberFormat="1" applyFont="1" applyFill="1" applyBorder="1" applyAlignment="1" applyProtection="1">
      <alignment/>
      <protection hidden="1"/>
    </xf>
    <xf numFmtId="170" fontId="0" fillId="0" borderId="0" xfId="0" applyNumberFormat="1" applyFont="1" applyFill="1" applyBorder="1" applyAlignment="1" applyProtection="1">
      <alignment/>
      <protection hidden="1"/>
    </xf>
    <xf numFmtId="14" fontId="0" fillId="33" borderId="0" xfId="0" applyNumberFormat="1" applyFill="1" applyAlignment="1" applyProtection="1">
      <alignment/>
      <protection hidden="1"/>
    </xf>
    <xf numFmtId="166" fontId="0" fillId="35" borderId="11" xfId="0" applyNumberFormat="1" applyFont="1" applyFill="1" applyBorder="1" applyAlignment="1" applyProtection="1">
      <alignment horizontal="right"/>
      <protection hidden="1" locked="0"/>
    </xf>
    <xf numFmtId="0" fontId="0" fillId="33" borderId="0" xfId="0" applyFill="1" applyAlignment="1">
      <alignment/>
    </xf>
    <xf numFmtId="0" fontId="0" fillId="33" borderId="0" xfId="0" applyFont="1" applyFill="1" applyAlignment="1" applyProtection="1">
      <alignment/>
      <protection hidden="1"/>
    </xf>
    <xf numFmtId="0" fontId="0"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center" vertical="center"/>
      <protection hidden="1"/>
    </xf>
    <xf numFmtId="0" fontId="0" fillId="33" borderId="0" xfId="0" applyFont="1" applyFill="1" applyAlignment="1">
      <alignment/>
    </xf>
    <xf numFmtId="0" fontId="0" fillId="33" borderId="12" xfId="0" applyFill="1" applyBorder="1" applyAlignment="1">
      <alignment/>
    </xf>
    <xf numFmtId="0" fontId="0" fillId="33" borderId="12" xfId="0" applyFont="1" applyFill="1" applyBorder="1" applyAlignment="1">
      <alignment/>
    </xf>
    <xf numFmtId="2" fontId="0" fillId="0" borderId="0" xfId="0" applyNumberFormat="1" applyFont="1" applyFill="1" applyBorder="1" applyAlignment="1" applyProtection="1">
      <alignment/>
      <protection hidden="1"/>
    </xf>
    <xf numFmtId="0" fontId="0" fillId="33" borderId="0" xfId="0" applyFont="1" applyFill="1" applyAlignment="1" applyProtection="1">
      <alignment wrapText="1"/>
      <protection hidden="1"/>
    </xf>
    <xf numFmtId="2" fontId="0" fillId="0" borderId="0" xfId="0" applyNumberFormat="1" applyFont="1" applyFill="1" applyBorder="1" applyAlignment="1" applyProtection="1">
      <alignment horizontal="right"/>
      <protection hidden="1"/>
    </xf>
    <xf numFmtId="0" fontId="0" fillId="0" borderId="0" xfId="0" applyFont="1" applyFill="1" applyBorder="1" applyAlignment="1" applyProtection="1">
      <alignment horizontal="center"/>
      <protection hidden="1"/>
    </xf>
    <xf numFmtId="0" fontId="11" fillId="33" borderId="0" xfId="0" applyFont="1" applyFill="1" applyAlignment="1" applyProtection="1">
      <alignment horizontal="centerContinuous"/>
      <protection hidden="1"/>
    </xf>
    <xf numFmtId="14" fontId="0" fillId="0" borderId="0" xfId="0" applyNumberFormat="1" applyFill="1" applyAlignment="1" applyProtection="1">
      <alignment vertical="center"/>
      <protection hidden="1"/>
    </xf>
    <xf numFmtId="0" fontId="0" fillId="0" borderId="0" xfId="0" applyFill="1" applyAlignment="1">
      <alignment vertical="center"/>
    </xf>
    <xf numFmtId="14" fontId="0" fillId="33" borderId="15" xfId="0" applyNumberFormat="1" applyFill="1" applyBorder="1" applyAlignment="1" applyProtection="1">
      <alignment vertical="center"/>
      <protection hidden="1"/>
    </xf>
    <xf numFmtId="0" fontId="0" fillId="33" borderId="15" xfId="0" applyFill="1" applyBorder="1" applyAlignment="1">
      <alignment vertical="center"/>
    </xf>
    <xf numFmtId="0" fontId="0" fillId="33" borderId="0" xfId="0" applyFont="1" applyFill="1" applyBorder="1" applyAlignment="1" applyProtection="1">
      <alignment wrapText="1"/>
      <protection hidden="1"/>
    </xf>
    <xf numFmtId="0" fontId="0" fillId="33" borderId="12" xfId="0" applyFont="1" applyFill="1" applyBorder="1" applyAlignment="1" applyProtection="1">
      <alignment wrapText="1"/>
      <protection hidden="1"/>
    </xf>
    <xf numFmtId="0" fontId="0" fillId="33" borderId="0" xfId="0" applyFont="1" applyFill="1" applyBorder="1" applyAlignment="1" applyProtection="1">
      <alignment horizontal="right" vertical="center"/>
      <protection hidden="1"/>
    </xf>
    <xf numFmtId="0" fontId="0" fillId="0" borderId="16" xfId="0" applyBorder="1" applyAlignment="1">
      <alignment horizontal="right" vertical="center"/>
    </xf>
    <xf numFmtId="0" fontId="0" fillId="0" borderId="0" xfId="0" applyAlignment="1">
      <alignment horizontal="right" vertical="center"/>
    </xf>
    <xf numFmtId="0" fontId="0" fillId="33" borderId="0" xfId="0" applyFont="1" applyFill="1" applyBorder="1" applyAlignment="1" applyProtection="1">
      <alignment horizontal="right" vertical="center" wrapText="1"/>
      <protection hidden="1"/>
    </xf>
    <xf numFmtId="0" fontId="0" fillId="0" borderId="16" xfId="0" applyBorder="1" applyAlignment="1">
      <alignment horizontal="right" vertical="center" wrapText="1"/>
    </xf>
    <xf numFmtId="0" fontId="0" fillId="0" borderId="0" xfId="0" applyAlignment="1">
      <alignment horizontal="right" vertical="center" wrapText="1"/>
    </xf>
    <xf numFmtId="0" fontId="0" fillId="35" borderId="17" xfId="0" applyFont="1" applyFill="1" applyBorder="1" applyAlignment="1" applyProtection="1">
      <alignment horizontal="center" vertical="center" wrapText="1"/>
      <protection hidden="1" locked="0"/>
    </xf>
    <xf numFmtId="0" fontId="0" fillId="35" borderId="15" xfId="0" applyFill="1" applyBorder="1" applyAlignment="1" applyProtection="1">
      <alignment horizontal="center" vertical="center" wrapText="1"/>
      <protection hidden="1" locked="0"/>
    </xf>
    <xf numFmtId="0" fontId="0" fillId="0" borderId="18" xfId="0" applyBorder="1" applyAlignment="1" applyProtection="1">
      <alignment wrapText="1"/>
      <protection hidden="1" locked="0"/>
    </xf>
    <xf numFmtId="0" fontId="0" fillId="35" borderId="19" xfId="0" applyFill="1" applyBorder="1" applyAlignment="1" applyProtection="1">
      <alignment horizontal="center" vertical="center" wrapText="1"/>
      <protection hidden="1" locked="0"/>
    </xf>
    <xf numFmtId="0" fontId="0" fillId="35" borderId="0" xfId="0" applyFill="1" applyBorder="1" applyAlignment="1" applyProtection="1">
      <alignment horizontal="center" vertical="center" wrapText="1"/>
      <protection hidden="1" locked="0"/>
    </xf>
    <xf numFmtId="0" fontId="0" fillId="0" borderId="16" xfId="0" applyBorder="1" applyAlignment="1" applyProtection="1">
      <alignment wrapText="1"/>
      <protection hidden="1" locked="0"/>
    </xf>
    <xf numFmtId="0" fontId="0" fillId="0" borderId="20" xfId="0" applyBorder="1" applyAlignment="1" applyProtection="1">
      <alignment wrapText="1"/>
      <protection hidden="1" locked="0"/>
    </xf>
    <xf numFmtId="0" fontId="0" fillId="0" borderId="12" xfId="0" applyBorder="1" applyAlignment="1" applyProtection="1">
      <alignment wrapText="1"/>
      <protection hidden="1" locked="0"/>
    </xf>
    <xf numFmtId="0" fontId="0" fillId="0" borderId="21" xfId="0" applyBorder="1" applyAlignment="1" applyProtection="1">
      <alignment wrapText="1"/>
      <protection hidden="1" locked="0"/>
    </xf>
    <xf numFmtId="0" fontId="0" fillId="33" borderId="0" xfId="0" applyFont="1" applyFill="1" applyBorder="1" applyAlignment="1" applyProtection="1">
      <alignment horizontal="center" vertical="center" wrapText="1"/>
      <protection hidden="1"/>
    </xf>
    <xf numFmtId="0" fontId="0" fillId="0" borderId="0" xfId="0" applyFont="1" applyAlignment="1" applyProtection="1">
      <alignment wrapText="1"/>
      <protection hidden="1"/>
    </xf>
    <xf numFmtId="0" fontId="0" fillId="34" borderId="19" xfId="0" applyFont="1" applyFill="1" applyBorder="1" applyAlignment="1" applyProtection="1">
      <alignment horizontal="center" vertical="center" wrapText="1"/>
      <protection hidden="1"/>
    </xf>
    <xf numFmtId="0" fontId="0" fillId="34" borderId="0" xfId="0" applyFill="1" applyBorder="1" applyAlignment="1" applyProtection="1">
      <alignment horizontal="center" vertical="center" wrapText="1"/>
      <protection hidden="1"/>
    </xf>
    <xf numFmtId="0" fontId="0" fillId="0" borderId="16" xfId="0" applyBorder="1" applyAlignment="1" applyProtection="1">
      <alignment wrapText="1"/>
      <protection hidden="1"/>
    </xf>
    <xf numFmtId="0" fontId="0" fillId="34" borderId="20" xfId="0" applyFill="1" applyBorder="1" applyAlignment="1" applyProtection="1">
      <alignment horizontal="center" vertical="center" wrapText="1"/>
      <protection hidden="1"/>
    </xf>
    <xf numFmtId="0" fontId="0" fillId="34" borderId="12" xfId="0" applyFill="1" applyBorder="1" applyAlignment="1" applyProtection="1">
      <alignment horizontal="center" vertical="center" wrapText="1"/>
      <protection hidden="1"/>
    </xf>
    <xf numFmtId="0" fontId="0" fillId="0" borderId="21" xfId="0" applyBorder="1" applyAlignment="1" applyProtection="1">
      <alignment wrapText="1"/>
      <protection hidden="1"/>
    </xf>
    <xf numFmtId="0" fontId="0" fillId="33" borderId="0" xfId="0" applyFont="1" applyFill="1" applyAlignment="1" applyProtection="1">
      <alignment wrapText="1"/>
      <protection hidden="1"/>
    </xf>
    <xf numFmtId="0" fontId="0" fillId="0" borderId="16" xfId="0" applyBorder="1" applyAlignment="1">
      <alignment/>
    </xf>
    <xf numFmtId="0" fontId="0" fillId="0" borderId="0" xfId="0" applyAlignment="1">
      <alignment/>
    </xf>
    <xf numFmtId="0" fontId="12" fillId="33" borderId="0" xfId="0" applyFont="1" applyFill="1" applyBorder="1" applyAlignment="1" applyProtection="1">
      <alignment horizontal="center" vertical="center"/>
      <protection hidden="1"/>
    </xf>
    <xf numFmtId="0" fontId="6" fillId="33" borderId="0" xfId="0" applyFont="1" applyFill="1" applyBorder="1" applyAlignment="1" applyProtection="1">
      <alignment horizontal="center" vertical="center"/>
      <protection hidden="1"/>
    </xf>
    <xf numFmtId="0" fontId="10" fillId="33" borderId="0" xfId="0" applyFont="1" applyFill="1" applyBorder="1" applyAlignment="1" applyProtection="1">
      <alignment horizontal="center" vertical="center" wrapText="1"/>
      <protection hidden="1"/>
    </xf>
    <xf numFmtId="0" fontId="10" fillId="33" borderId="0" xfId="0" applyFont="1" applyFill="1" applyBorder="1" applyAlignment="1" applyProtection="1">
      <alignment horizontal="center" wrapText="1"/>
      <protection hidden="1"/>
    </xf>
    <xf numFmtId="0" fontId="7" fillId="34" borderId="0" xfId="0" applyFont="1" applyFill="1" applyBorder="1" applyAlignment="1" applyProtection="1">
      <alignment vertical="center" wrapText="1"/>
      <protection hidden="1"/>
    </xf>
    <xf numFmtId="0" fontId="0" fillId="34" borderId="0" xfId="0" applyFill="1" applyAlignment="1" applyProtection="1">
      <alignment wrapText="1"/>
      <protection hidden="1"/>
    </xf>
    <xf numFmtId="0" fontId="7" fillId="33" borderId="0" xfId="0" applyFont="1" applyFill="1" applyBorder="1" applyAlignment="1" applyProtection="1">
      <alignment horizontal="right" vertical="center" wrapText="1"/>
      <protection hidden="1"/>
    </xf>
    <xf numFmtId="0" fontId="0" fillId="33" borderId="0" xfId="0" applyFill="1" applyAlignment="1" applyProtection="1">
      <alignment wrapText="1"/>
      <protection hidden="1"/>
    </xf>
    <xf numFmtId="0" fontId="0" fillId="34" borderId="0" xfId="0" applyFill="1" applyAlignment="1" applyProtection="1">
      <alignment vertical="center" wrapText="1"/>
      <protection hidden="1"/>
    </xf>
    <xf numFmtId="0" fontId="7" fillId="35" borderId="0" xfId="0" applyFont="1" applyFill="1" applyAlignment="1" applyProtection="1">
      <alignment vertical="center" wrapText="1"/>
      <protection locked="0"/>
    </xf>
    <xf numFmtId="0" fontId="7" fillId="35" borderId="0" xfId="0" applyFont="1" applyFill="1" applyBorder="1" applyAlignment="1" applyProtection="1">
      <alignment horizontal="center" vertical="top"/>
      <protection locked="0"/>
    </xf>
    <xf numFmtId="0" fontId="0" fillId="35" borderId="0" xfId="0" applyFill="1" applyAlignment="1" applyProtection="1">
      <alignment/>
      <protection locked="0"/>
    </xf>
    <xf numFmtId="0" fontId="0" fillId="0" borderId="0" xfId="0" applyAlignment="1" applyProtection="1">
      <alignment horizontal="right" vertical="center" wrapText="1"/>
      <protection hidden="1"/>
    </xf>
    <xf numFmtId="0" fontId="7" fillId="35" borderId="0" xfId="0" applyFont="1" applyFill="1" applyBorder="1" applyAlignment="1" applyProtection="1">
      <alignment vertical="center" wrapText="1"/>
      <protection locked="0"/>
    </xf>
    <xf numFmtId="0" fontId="0" fillId="35" borderId="0" xfId="0" applyFill="1" applyAlignment="1" applyProtection="1">
      <alignment vertical="center" wrapText="1"/>
      <protection locked="0"/>
    </xf>
    <xf numFmtId="0" fontId="0" fillId="35" borderId="15" xfId="0" applyFont="1" applyFill="1" applyBorder="1" applyAlignment="1" applyProtection="1">
      <alignment horizontal="center" vertical="center" wrapText="1"/>
      <protection hidden="1" locked="0"/>
    </xf>
    <xf numFmtId="0" fontId="0" fillId="35" borderId="18" xfId="0" applyFont="1" applyFill="1" applyBorder="1" applyAlignment="1" applyProtection="1">
      <alignment horizontal="center" vertical="center" wrapText="1"/>
      <protection hidden="1" locked="0"/>
    </xf>
    <xf numFmtId="0" fontId="0" fillId="35" borderId="20" xfId="0" applyFont="1" applyFill="1" applyBorder="1" applyAlignment="1" applyProtection="1">
      <alignment horizontal="center" vertical="center" wrapText="1"/>
      <protection hidden="1" locked="0"/>
    </xf>
    <xf numFmtId="0" fontId="0" fillId="35" borderId="12" xfId="0" applyFont="1" applyFill="1" applyBorder="1" applyAlignment="1" applyProtection="1">
      <alignment horizontal="center" vertical="center" wrapText="1"/>
      <protection hidden="1" locked="0"/>
    </xf>
    <xf numFmtId="0" fontId="0" fillId="35" borderId="21" xfId="0" applyFont="1" applyFill="1" applyBorder="1" applyAlignment="1" applyProtection="1">
      <alignment horizontal="center" vertical="center" wrapText="1"/>
      <protection hidden="1" locked="0"/>
    </xf>
    <xf numFmtId="0" fontId="0" fillId="35" borderId="22" xfId="0" applyFont="1" applyFill="1" applyBorder="1" applyAlignment="1" applyProtection="1">
      <alignment horizontal="center"/>
      <protection hidden="1" locked="0"/>
    </xf>
    <xf numFmtId="0" fontId="0" fillId="35" borderId="23" xfId="0" applyFont="1" applyFill="1" applyBorder="1" applyAlignment="1" applyProtection="1">
      <alignment horizontal="center"/>
      <protection hidden="1" locked="0"/>
    </xf>
    <xf numFmtId="0" fontId="1" fillId="0" borderId="0" xfId="0" applyFont="1" applyAlignment="1" applyProtection="1">
      <alignment horizontal="center"/>
      <protection hidden="1"/>
    </xf>
    <xf numFmtId="0" fontId="0" fillId="33" borderId="0" xfId="0" applyFont="1" applyFill="1" applyBorder="1" applyAlignment="1" applyProtection="1">
      <alignment horizontal="center" vertical="center"/>
      <protection hidden="1"/>
    </xf>
    <xf numFmtId="0" fontId="0" fillId="33" borderId="0" xfId="0" applyFont="1" applyFill="1" applyBorder="1" applyAlignment="1" applyProtection="1">
      <alignment horizontal="center" vertical="top"/>
      <protection hidden="1"/>
    </xf>
    <xf numFmtId="0" fontId="10" fillId="33" borderId="0" xfId="0" applyFont="1" applyFill="1" applyAlignment="1" applyProtection="1">
      <alignment horizontal="center" wrapText="1"/>
      <protection hidden="1"/>
    </xf>
    <xf numFmtId="0" fontId="0" fillId="35" borderId="0" xfId="0" applyFill="1" applyAlignment="1" applyProtection="1">
      <alignmen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5">
    <dxf>
      <font>
        <b/>
        <i val="0"/>
        <color indexed="9"/>
      </font>
      <fill>
        <patternFill>
          <bgColor indexed="10"/>
        </patternFill>
      </fill>
      <border>
        <left style="thin"/>
        <right style="thin"/>
        <top style="thin"/>
        <bottom style="thin"/>
      </border>
    </dxf>
    <dxf>
      <font>
        <b/>
        <i val="0"/>
      </font>
      <fill>
        <patternFill>
          <bgColor indexed="10"/>
        </patternFill>
      </fill>
      <border>
        <left style="thin"/>
        <right style="thin"/>
        <top style="thin"/>
        <bottom style="thin"/>
      </border>
    </dxf>
    <dxf>
      <font>
        <b/>
        <i val="0"/>
      </font>
      <fill>
        <patternFill>
          <bgColor indexed="10"/>
        </patternFill>
      </fill>
      <border>
        <left style="thin"/>
        <right style="thin"/>
        <top style="thin"/>
        <bottom style="thin"/>
      </border>
    </dxf>
    <dxf>
      <font>
        <b/>
        <i val="0"/>
      </font>
      <fill>
        <patternFill>
          <bgColor indexed="10"/>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10"/>
        </patternFill>
      </fill>
      <border>
        <left style="thin"/>
        <right style="thin"/>
        <top style="thin"/>
        <bottom style="thin"/>
      </border>
    </dxf>
    <dxf>
      <font>
        <b/>
        <i val="0"/>
      </font>
      <fill>
        <patternFill>
          <bgColor indexed="10"/>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10"/>
        </patternFill>
      </fill>
      <border>
        <left style="thin"/>
        <right style="thin"/>
        <top style="thin"/>
        <bottom style="thin"/>
      </border>
    </dxf>
    <dxf>
      <font>
        <b/>
        <i val="0"/>
      </font>
      <fill>
        <patternFill>
          <bgColor indexed="10"/>
        </patternFill>
      </fill>
      <border>
        <left style="thin"/>
        <right style="thin"/>
        <top style="thin"/>
        <bottom style="thin"/>
      </border>
    </dxf>
    <dxf>
      <font>
        <b/>
        <i val="0"/>
      </font>
      <fill>
        <patternFill>
          <bgColor indexed="10"/>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10"/>
        </patternFill>
      </fill>
      <border>
        <left style="thin"/>
        <right style="thin"/>
        <top style="thin"/>
        <bottom style="thin"/>
      </border>
    </dxf>
    <dxf>
      <font>
        <b/>
        <i val="0"/>
      </font>
      <fill>
        <patternFill>
          <bgColor indexed="10"/>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10"/>
        </patternFill>
      </fill>
      <border>
        <left style="thin"/>
        <right style="thin"/>
        <top style="thin"/>
        <bottom style="thin"/>
      </border>
    </dxf>
    <dxf>
      <font>
        <b/>
        <i val="0"/>
      </font>
      <fill>
        <patternFill>
          <bgColor indexed="10"/>
        </patternFill>
      </fill>
      <border>
        <left style="thin"/>
        <right style="thin"/>
        <top style="thin"/>
        <bottom style="thin"/>
      </border>
    </dxf>
    <dxf>
      <font>
        <b/>
        <i val="0"/>
      </font>
      <fill>
        <patternFill>
          <bgColor indexed="10"/>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10"/>
        </patternFill>
      </fill>
      <border>
        <left style="thin"/>
        <right style="thin"/>
        <top style="thin"/>
        <bottom style="thin"/>
      </border>
    </dxf>
    <dxf>
      <font>
        <b/>
        <i val="0"/>
      </font>
      <fill>
        <patternFill>
          <bgColor indexed="10"/>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10"/>
        </patternFill>
      </fill>
      <border>
        <left style="thin"/>
        <right style="thin"/>
        <top style="thin"/>
        <bottom style="thin"/>
      </border>
    </dxf>
    <dxf>
      <font>
        <b/>
        <i val="0"/>
      </font>
      <fill>
        <patternFill>
          <bgColor indexed="10"/>
        </patternFill>
      </fill>
      <border>
        <left style="thin"/>
        <right style="thin"/>
        <top style="thin"/>
        <bottom style="thin"/>
      </border>
    </dxf>
    <dxf>
      <font>
        <b/>
        <i val="0"/>
      </font>
      <fill>
        <patternFill>
          <bgColor indexed="10"/>
        </patternFill>
      </fill>
      <border>
        <left style="thin"/>
        <right style="thin"/>
        <top style="thin"/>
        <bottom style="thin"/>
      </border>
    </dxf>
    <dxf>
      <fill>
        <patternFill>
          <bgColor indexed="10"/>
        </patternFill>
      </fill>
    </dxf>
    <dxf>
      <font>
        <b/>
        <i val="0"/>
        <color indexed="9"/>
      </font>
      <fill>
        <patternFill>
          <bgColor indexed="10"/>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10"/>
        </patternFill>
      </fill>
      <border>
        <left style="thin"/>
        <right style="thin"/>
        <top style="thin"/>
        <bottom style="thin"/>
      </border>
    </dxf>
    <dxf>
      <font>
        <b/>
        <i val="0"/>
      </font>
      <fill>
        <patternFill>
          <bgColor indexed="10"/>
        </patternFill>
      </fill>
      <border>
        <left style="thin"/>
        <right style="thin"/>
        <top style="thin"/>
        <bottom style="thin"/>
      </border>
    </dxf>
    <dxf>
      <font>
        <b/>
        <i val="0"/>
      </font>
      <fill>
        <patternFill>
          <bgColor rgb="FFFF0000"/>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28575</xdr:colOff>
      <xdr:row>3</xdr:row>
      <xdr:rowOff>57150</xdr:rowOff>
    </xdr:to>
    <xdr:pic>
      <xdr:nvPicPr>
        <xdr:cNvPr id="1" name="Picture 6"/>
        <xdr:cNvPicPr preferRelativeResize="1">
          <a:picLocks noChangeAspect="1"/>
        </xdr:cNvPicPr>
      </xdr:nvPicPr>
      <xdr:blipFill>
        <a:blip r:embed="rId1"/>
        <a:stretch>
          <a:fillRect/>
        </a:stretch>
      </xdr:blipFill>
      <xdr:spPr>
        <a:xfrm>
          <a:off x="0" y="0"/>
          <a:ext cx="29337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142875</xdr:rowOff>
    </xdr:from>
    <xdr:to>
      <xdr:col>6</xdr:col>
      <xdr:colOff>533400</xdr:colOff>
      <xdr:row>17</xdr:row>
      <xdr:rowOff>0</xdr:rowOff>
    </xdr:to>
    <xdr:sp macro="[0]!Clear_Std">
      <xdr:nvSpPr>
        <xdr:cNvPr id="1" name="Text Box 45"/>
        <xdr:cNvSpPr txBox="1">
          <a:spLocks noChangeArrowheads="1"/>
        </xdr:cNvSpPr>
      </xdr:nvSpPr>
      <xdr:spPr>
        <a:xfrm>
          <a:off x="3600450" y="2085975"/>
          <a:ext cx="533400" cy="666750"/>
        </a:xfrm>
        <a:prstGeom prst="rect">
          <a:avLst/>
        </a:prstGeom>
        <a:solidFill>
          <a:srgbClr val="C0C0C0"/>
        </a:solidFill>
        <a:ln w="1270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Click Here to Clear Form</a:t>
          </a:r>
        </a:p>
      </xdr:txBody>
    </xdr:sp>
    <xdr:clientData/>
  </xdr:twoCellAnchor>
  <xdr:twoCellAnchor editAs="oneCell">
    <xdr:from>
      <xdr:col>0</xdr:col>
      <xdr:colOff>0</xdr:colOff>
      <xdr:row>0</xdr:row>
      <xdr:rowOff>0</xdr:rowOff>
    </xdr:from>
    <xdr:to>
      <xdr:col>4</xdr:col>
      <xdr:colOff>533400</xdr:colOff>
      <xdr:row>4</xdr:row>
      <xdr:rowOff>38100</xdr:rowOff>
    </xdr:to>
    <xdr:pic>
      <xdr:nvPicPr>
        <xdr:cNvPr id="2" name="Picture 1"/>
        <xdr:cNvPicPr preferRelativeResize="1">
          <a:picLocks noChangeAspect="1"/>
        </xdr:cNvPicPr>
      </xdr:nvPicPr>
      <xdr:blipFill>
        <a:blip r:embed="rId1"/>
        <a:stretch>
          <a:fillRect/>
        </a:stretch>
      </xdr:blipFill>
      <xdr:spPr>
        <a:xfrm>
          <a:off x="0" y="0"/>
          <a:ext cx="293370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257175</xdr:colOff>
      <xdr:row>2</xdr:row>
      <xdr:rowOff>200025</xdr:rowOff>
    </xdr:to>
    <xdr:pic>
      <xdr:nvPicPr>
        <xdr:cNvPr id="1" name="Picture 2"/>
        <xdr:cNvPicPr preferRelativeResize="1">
          <a:picLocks noChangeAspect="1"/>
        </xdr:cNvPicPr>
      </xdr:nvPicPr>
      <xdr:blipFill>
        <a:blip r:embed="rId1"/>
        <a:stretch>
          <a:fillRect/>
        </a:stretch>
      </xdr:blipFill>
      <xdr:spPr>
        <a:xfrm>
          <a:off x="0" y="0"/>
          <a:ext cx="293370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142875</xdr:rowOff>
    </xdr:from>
    <xdr:to>
      <xdr:col>6</xdr:col>
      <xdr:colOff>533400</xdr:colOff>
      <xdr:row>17</xdr:row>
      <xdr:rowOff>0</xdr:rowOff>
    </xdr:to>
    <xdr:sp macro="[0]!Clear_ASME">
      <xdr:nvSpPr>
        <xdr:cNvPr id="1" name="Text Box 2"/>
        <xdr:cNvSpPr txBox="1">
          <a:spLocks noChangeArrowheads="1"/>
        </xdr:cNvSpPr>
      </xdr:nvSpPr>
      <xdr:spPr>
        <a:xfrm>
          <a:off x="3600450" y="2085975"/>
          <a:ext cx="533400" cy="666750"/>
        </a:xfrm>
        <a:prstGeom prst="rect">
          <a:avLst/>
        </a:prstGeom>
        <a:solidFill>
          <a:srgbClr val="C0C0C0"/>
        </a:solidFill>
        <a:ln w="1270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Click Here to Clear Form</a:t>
          </a:r>
        </a:p>
      </xdr:txBody>
    </xdr:sp>
    <xdr:clientData/>
  </xdr:twoCellAnchor>
  <xdr:twoCellAnchor editAs="oneCell">
    <xdr:from>
      <xdr:col>0</xdr:col>
      <xdr:colOff>0</xdr:colOff>
      <xdr:row>0</xdr:row>
      <xdr:rowOff>0</xdr:rowOff>
    </xdr:from>
    <xdr:to>
      <xdr:col>4</xdr:col>
      <xdr:colOff>533400</xdr:colOff>
      <xdr:row>4</xdr:row>
      <xdr:rowOff>38100</xdr:rowOff>
    </xdr:to>
    <xdr:pic>
      <xdr:nvPicPr>
        <xdr:cNvPr id="2" name="Picture 4"/>
        <xdr:cNvPicPr preferRelativeResize="1">
          <a:picLocks noChangeAspect="1"/>
        </xdr:cNvPicPr>
      </xdr:nvPicPr>
      <xdr:blipFill>
        <a:blip r:embed="rId1"/>
        <a:stretch>
          <a:fillRect/>
        </a:stretch>
      </xdr:blipFill>
      <xdr:spPr>
        <a:xfrm>
          <a:off x="0" y="0"/>
          <a:ext cx="2933700"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257175</xdr:colOff>
      <xdr:row>2</xdr:row>
      <xdr:rowOff>200025</xdr:rowOff>
    </xdr:to>
    <xdr:pic>
      <xdr:nvPicPr>
        <xdr:cNvPr id="1" name="Picture 2"/>
        <xdr:cNvPicPr preferRelativeResize="1">
          <a:picLocks noChangeAspect="1"/>
        </xdr:cNvPicPr>
      </xdr:nvPicPr>
      <xdr:blipFill>
        <a:blip r:embed="rId1"/>
        <a:stretch>
          <a:fillRect/>
        </a:stretch>
      </xdr:blipFill>
      <xdr:spPr>
        <a:xfrm>
          <a:off x="0" y="0"/>
          <a:ext cx="2933700"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8</xdr:row>
      <xdr:rowOff>9525</xdr:rowOff>
    </xdr:from>
    <xdr:to>
      <xdr:col>6</xdr:col>
      <xdr:colOff>542925</xdr:colOff>
      <xdr:row>12</xdr:row>
      <xdr:rowOff>28575</xdr:rowOff>
    </xdr:to>
    <xdr:sp macro="[0]!Clear_Cust">
      <xdr:nvSpPr>
        <xdr:cNvPr id="1" name="Text Box 17"/>
        <xdr:cNvSpPr txBox="1">
          <a:spLocks noChangeArrowheads="1"/>
        </xdr:cNvSpPr>
      </xdr:nvSpPr>
      <xdr:spPr>
        <a:xfrm>
          <a:off x="3609975" y="1447800"/>
          <a:ext cx="533400" cy="666750"/>
        </a:xfrm>
        <a:prstGeom prst="rect">
          <a:avLst/>
        </a:prstGeom>
        <a:solidFill>
          <a:srgbClr val="C0C0C0"/>
        </a:solidFill>
        <a:ln w="1270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Click Here to Clear Form</a:t>
          </a:r>
        </a:p>
      </xdr:txBody>
    </xdr:sp>
    <xdr:clientData/>
  </xdr:twoCellAnchor>
  <xdr:twoCellAnchor editAs="oneCell">
    <xdr:from>
      <xdr:col>0</xdr:col>
      <xdr:colOff>0</xdr:colOff>
      <xdr:row>0</xdr:row>
      <xdr:rowOff>0</xdr:rowOff>
    </xdr:from>
    <xdr:to>
      <xdr:col>4</xdr:col>
      <xdr:colOff>533400</xdr:colOff>
      <xdr:row>4</xdr:row>
      <xdr:rowOff>38100</xdr:rowOff>
    </xdr:to>
    <xdr:pic>
      <xdr:nvPicPr>
        <xdr:cNvPr id="2" name="Picture 3"/>
        <xdr:cNvPicPr preferRelativeResize="1">
          <a:picLocks noChangeAspect="1"/>
        </xdr:cNvPicPr>
      </xdr:nvPicPr>
      <xdr:blipFill>
        <a:blip r:embed="rId1"/>
        <a:stretch>
          <a:fillRect/>
        </a:stretch>
      </xdr:blipFill>
      <xdr:spPr>
        <a:xfrm>
          <a:off x="0" y="0"/>
          <a:ext cx="2933700" cy="685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257175</xdr:colOff>
      <xdr:row>2</xdr:row>
      <xdr:rowOff>200025</xdr:rowOff>
    </xdr:to>
    <xdr:pic>
      <xdr:nvPicPr>
        <xdr:cNvPr id="1" name="Picture 2"/>
        <xdr:cNvPicPr preferRelativeResize="1">
          <a:picLocks noChangeAspect="1"/>
        </xdr:cNvPicPr>
      </xdr:nvPicPr>
      <xdr:blipFill>
        <a:blip r:embed="rId1"/>
        <a:stretch>
          <a:fillRect/>
        </a:stretch>
      </xdr:blipFill>
      <xdr:spPr>
        <a:xfrm>
          <a:off x="0" y="0"/>
          <a:ext cx="2933700" cy="685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8</xdr:row>
      <xdr:rowOff>9525</xdr:rowOff>
    </xdr:from>
    <xdr:to>
      <xdr:col>6</xdr:col>
      <xdr:colOff>542925</xdr:colOff>
      <xdr:row>12</xdr:row>
      <xdr:rowOff>28575</xdr:rowOff>
    </xdr:to>
    <xdr:sp macro="[0]!Clear_Cust">
      <xdr:nvSpPr>
        <xdr:cNvPr id="1" name="Text Box 17"/>
        <xdr:cNvSpPr txBox="1">
          <a:spLocks noChangeArrowheads="1"/>
        </xdr:cNvSpPr>
      </xdr:nvSpPr>
      <xdr:spPr>
        <a:xfrm>
          <a:off x="3609975" y="1304925"/>
          <a:ext cx="533400" cy="666750"/>
        </a:xfrm>
        <a:prstGeom prst="rect">
          <a:avLst/>
        </a:prstGeom>
        <a:solidFill>
          <a:srgbClr val="C0C0C0"/>
        </a:solidFill>
        <a:ln w="1270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Click Here to Clear Form</a:t>
          </a:r>
        </a:p>
      </xdr:txBody>
    </xdr:sp>
    <xdr:clientData/>
  </xdr:twoCellAnchor>
  <xdr:twoCellAnchor editAs="oneCell">
    <xdr:from>
      <xdr:col>0</xdr:col>
      <xdr:colOff>0</xdr:colOff>
      <xdr:row>0</xdr:row>
      <xdr:rowOff>0</xdr:rowOff>
    </xdr:from>
    <xdr:to>
      <xdr:col>4</xdr:col>
      <xdr:colOff>533400</xdr:colOff>
      <xdr:row>4</xdr:row>
      <xdr:rowOff>38100</xdr:rowOff>
    </xdr:to>
    <xdr:pic>
      <xdr:nvPicPr>
        <xdr:cNvPr id="2" name="Picture 3"/>
        <xdr:cNvPicPr preferRelativeResize="1">
          <a:picLocks noChangeAspect="1"/>
        </xdr:cNvPicPr>
      </xdr:nvPicPr>
      <xdr:blipFill>
        <a:blip r:embed="rId1"/>
        <a:stretch>
          <a:fillRect/>
        </a:stretch>
      </xdr:blipFill>
      <xdr:spPr>
        <a:xfrm>
          <a:off x="0" y="0"/>
          <a:ext cx="2933700" cy="685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257175</xdr:colOff>
      <xdr:row>2</xdr:row>
      <xdr:rowOff>200025</xdr:rowOff>
    </xdr:to>
    <xdr:pic>
      <xdr:nvPicPr>
        <xdr:cNvPr id="1" name="Picture 2"/>
        <xdr:cNvPicPr preferRelativeResize="1">
          <a:picLocks noChangeAspect="1"/>
        </xdr:cNvPicPr>
      </xdr:nvPicPr>
      <xdr:blipFill>
        <a:blip r:embed="rId1"/>
        <a:stretch>
          <a:fillRect/>
        </a:stretch>
      </xdr:blipFill>
      <xdr:spPr>
        <a:xfrm>
          <a:off x="0" y="0"/>
          <a:ext cx="29337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J50"/>
  <sheetViews>
    <sheetView tabSelected="1" zoomScalePageLayoutView="0" workbookViewId="0" topLeftCell="A1">
      <selection activeCell="H2" sqref="H2"/>
    </sheetView>
  </sheetViews>
  <sheetFormatPr defaultColWidth="0" defaultRowHeight="12.75" zeroHeight="1"/>
  <cols>
    <col min="1" max="9" width="8.7109375" style="104" customWidth="1"/>
    <col min="10" max="10" width="9.140625" style="104" bestFit="1" customWidth="1"/>
    <col min="11" max="16384" width="9.140625" style="104" hidden="1" customWidth="1"/>
  </cols>
  <sheetData>
    <row r="1" ht="16.5" customHeight="1"/>
    <row r="2" ht="16.5" customHeight="1"/>
    <row r="3" ht="16.5" customHeight="1"/>
    <row r="4" ht="16.5" customHeight="1"/>
    <row r="5" spans="1:10" ht="27.75">
      <c r="A5" s="115" t="s">
        <v>191</v>
      </c>
      <c r="B5" s="54"/>
      <c r="C5" s="54"/>
      <c r="D5" s="54"/>
      <c r="E5" s="54"/>
      <c r="F5" s="54"/>
      <c r="G5" s="54"/>
      <c r="H5" s="54"/>
      <c r="I5" s="54"/>
      <c r="J5" s="54"/>
    </row>
    <row r="6" spans="1:10" ht="12.75">
      <c r="A6" s="53"/>
      <c r="B6" s="53"/>
      <c r="C6" s="53"/>
      <c r="D6" s="53"/>
      <c r="E6" s="53"/>
      <c r="F6" s="53"/>
      <c r="G6" s="53"/>
      <c r="H6" s="53"/>
      <c r="I6" s="53"/>
      <c r="J6" s="53"/>
    </row>
    <row r="7" spans="1:10" ht="51">
      <c r="A7" s="55" t="s">
        <v>295</v>
      </c>
      <c r="B7" s="54"/>
      <c r="C7" s="54"/>
      <c r="D7" s="54"/>
      <c r="E7" s="54"/>
      <c r="F7" s="54"/>
      <c r="G7" s="54"/>
      <c r="H7" s="54"/>
      <c r="I7" s="54"/>
      <c r="J7" s="54"/>
    </row>
    <row r="8" spans="1:10" ht="12.75">
      <c r="A8" s="55"/>
      <c r="B8" s="54"/>
      <c r="C8" s="54"/>
      <c r="D8" s="54"/>
      <c r="E8" s="54"/>
      <c r="F8" s="54"/>
      <c r="G8" s="54"/>
      <c r="H8" s="54"/>
      <c r="I8" s="54"/>
      <c r="J8" s="54"/>
    </row>
    <row r="9" spans="1:10" ht="25.5">
      <c r="A9" s="55" t="s">
        <v>198</v>
      </c>
      <c r="B9" s="54"/>
      <c r="C9" s="54"/>
      <c r="D9" s="54"/>
      <c r="E9" s="54"/>
      <c r="F9" s="54"/>
      <c r="G9" s="54"/>
      <c r="H9" s="54"/>
      <c r="I9" s="54"/>
      <c r="J9" s="54"/>
    </row>
    <row r="10" spans="1:10" ht="12.75">
      <c r="A10" s="53"/>
      <c r="B10" s="53"/>
      <c r="C10" s="53"/>
      <c r="D10" s="53"/>
      <c r="E10" s="53"/>
      <c r="F10" s="53"/>
      <c r="G10" s="53"/>
      <c r="H10" s="53"/>
      <c r="I10" s="53"/>
      <c r="J10" s="53"/>
    </row>
    <row r="11" spans="1:10" ht="38.25">
      <c r="A11" s="55" t="s">
        <v>192</v>
      </c>
      <c r="B11" s="55"/>
      <c r="C11" s="55"/>
      <c r="D11" s="55"/>
      <c r="E11" s="55"/>
      <c r="F11" s="55"/>
      <c r="G11" s="55"/>
      <c r="H11" s="55"/>
      <c r="I11" s="55"/>
      <c r="J11" s="55"/>
    </row>
    <row r="12" spans="1:10" ht="12.75">
      <c r="A12" s="55"/>
      <c r="B12" s="55"/>
      <c r="C12" s="55"/>
      <c r="D12" s="55"/>
      <c r="E12" s="55"/>
      <c r="F12" s="55"/>
      <c r="G12" s="55"/>
      <c r="H12" s="55"/>
      <c r="I12" s="55"/>
      <c r="J12" s="55"/>
    </row>
    <row r="13" spans="1:10" ht="38.25">
      <c r="A13" s="55" t="s">
        <v>193</v>
      </c>
      <c r="B13" s="55"/>
      <c r="C13" s="55"/>
      <c r="D13" s="55"/>
      <c r="E13" s="55"/>
      <c r="F13" s="55"/>
      <c r="G13" s="55"/>
      <c r="H13" s="55"/>
      <c r="I13" s="55"/>
      <c r="J13" s="55"/>
    </row>
    <row r="14" spans="1:10" ht="12.75">
      <c r="A14" s="53"/>
      <c r="B14" s="53"/>
      <c r="C14" s="53"/>
      <c r="D14" s="53"/>
      <c r="E14" s="53"/>
      <c r="F14" s="53"/>
      <c r="G14" s="53"/>
      <c r="H14" s="53"/>
      <c r="I14" s="53"/>
      <c r="J14" s="53"/>
    </row>
    <row r="15" spans="1:10" ht="38.25">
      <c r="A15" s="55" t="s">
        <v>271</v>
      </c>
      <c r="B15" s="55"/>
      <c r="C15" s="55"/>
      <c r="D15" s="55"/>
      <c r="E15" s="55"/>
      <c r="F15" s="55"/>
      <c r="G15" s="55"/>
      <c r="H15" s="55"/>
      <c r="I15" s="55"/>
      <c r="J15" s="55"/>
    </row>
    <row r="16" spans="1:10" ht="12.75">
      <c r="A16" s="53"/>
      <c r="B16" s="53"/>
      <c r="C16" s="53"/>
      <c r="D16" s="53"/>
      <c r="E16" s="53"/>
      <c r="F16" s="53"/>
      <c r="G16" s="53"/>
      <c r="H16" s="53"/>
      <c r="I16" s="53"/>
      <c r="J16" s="53"/>
    </row>
    <row r="17" spans="1:10" ht="25.5">
      <c r="A17" s="55" t="s">
        <v>199</v>
      </c>
      <c r="B17" s="55"/>
      <c r="C17" s="55"/>
      <c r="D17" s="55"/>
      <c r="E17" s="55"/>
      <c r="F17" s="55"/>
      <c r="G17" s="55"/>
      <c r="H17" s="55"/>
      <c r="I17" s="55"/>
      <c r="J17" s="55"/>
    </row>
    <row r="18" spans="1:10" ht="12.75">
      <c r="A18" s="53"/>
      <c r="B18" s="53"/>
      <c r="C18" s="53"/>
      <c r="D18" s="53"/>
      <c r="E18" s="53"/>
      <c r="F18" s="53"/>
      <c r="G18" s="53"/>
      <c r="H18" s="53"/>
      <c r="I18" s="53"/>
      <c r="J18" s="53"/>
    </row>
    <row r="19" spans="1:10" ht="56.25">
      <c r="A19" s="58" t="s">
        <v>197</v>
      </c>
      <c r="B19" s="58"/>
      <c r="C19" s="58"/>
      <c r="D19" s="58"/>
      <c r="E19" s="58"/>
      <c r="F19" s="58"/>
      <c r="G19" s="58"/>
      <c r="H19" s="58"/>
      <c r="I19" s="58"/>
      <c r="J19" s="58"/>
    </row>
    <row r="20" spans="1:10" ht="12.75">
      <c r="A20" s="56"/>
      <c r="B20" s="56"/>
      <c r="C20" s="56"/>
      <c r="D20" s="56"/>
      <c r="E20" s="56"/>
      <c r="F20" s="56"/>
      <c r="G20" s="56"/>
      <c r="H20" s="56"/>
      <c r="I20" s="56"/>
      <c r="J20" s="56"/>
    </row>
    <row r="21" spans="1:10" ht="22.5">
      <c r="A21" s="58" t="s">
        <v>194</v>
      </c>
      <c r="B21" s="58"/>
      <c r="C21" s="58"/>
      <c r="D21" s="58"/>
      <c r="E21" s="58"/>
      <c r="F21" s="58"/>
      <c r="G21" s="58"/>
      <c r="H21" s="58"/>
      <c r="I21" s="58"/>
      <c r="J21" s="58"/>
    </row>
    <row r="22" spans="1:10" ht="12.75">
      <c r="A22" s="56"/>
      <c r="B22" s="56"/>
      <c r="C22" s="56"/>
      <c r="D22" s="56"/>
      <c r="E22" s="56"/>
      <c r="F22" s="56"/>
      <c r="G22" s="56"/>
      <c r="H22" s="56"/>
      <c r="I22" s="56"/>
      <c r="J22" s="56"/>
    </row>
    <row r="23" spans="1:10" ht="12.75">
      <c r="A23" s="58" t="s">
        <v>195</v>
      </c>
      <c r="B23" s="58"/>
      <c r="C23" s="58"/>
      <c r="D23" s="58"/>
      <c r="E23" s="58"/>
      <c r="F23" s="58"/>
      <c r="G23" s="58"/>
      <c r="H23" s="58"/>
      <c r="I23" s="58"/>
      <c r="J23" s="58"/>
    </row>
    <row r="24" spans="1:10" ht="12.75">
      <c r="A24" s="56"/>
      <c r="B24" s="56"/>
      <c r="C24" s="56"/>
      <c r="D24" s="56"/>
      <c r="E24" s="56"/>
      <c r="F24" s="56"/>
      <c r="G24" s="56"/>
      <c r="H24" s="56"/>
      <c r="I24" s="56"/>
      <c r="J24" s="56"/>
    </row>
    <row r="25" spans="1:10" ht="33.75">
      <c r="A25" s="58" t="s">
        <v>196</v>
      </c>
      <c r="B25" s="58"/>
      <c r="C25" s="58"/>
      <c r="D25" s="58"/>
      <c r="E25" s="58"/>
      <c r="F25" s="58"/>
      <c r="G25" s="58"/>
      <c r="H25" s="58"/>
      <c r="I25" s="58"/>
      <c r="J25" s="58"/>
    </row>
    <row r="26" spans="1:10" ht="12.75">
      <c r="A26" s="57"/>
      <c r="B26" s="57"/>
      <c r="C26" s="57"/>
      <c r="D26" s="57"/>
      <c r="E26" s="57"/>
      <c r="F26" s="57"/>
      <c r="G26" s="57"/>
      <c r="H26" s="57"/>
      <c r="I26" s="57"/>
      <c r="J26" s="57"/>
    </row>
    <row r="27" spans="1:10" ht="12.75">
      <c r="A27" s="105" t="s">
        <v>298</v>
      </c>
      <c r="B27" s="57"/>
      <c r="C27" s="57"/>
      <c r="D27" s="57"/>
      <c r="E27" s="57"/>
      <c r="F27" s="57"/>
      <c r="G27" s="57"/>
      <c r="H27" s="57"/>
      <c r="I27" s="116">
        <v>43640</v>
      </c>
      <c r="J27" s="117"/>
    </row>
    <row r="28" spans="1:10" ht="12.75" hidden="1">
      <c r="A28" s="57"/>
      <c r="B28" s="57"/>
      <c r="C28" s="57"/>
      <c r="D28" s="57"/>
      <c r="E28" s="57"/>
      <c r="F28" s="57"/>
      <c r="G28" s="57"/>
      <c r="H28" s="57"/>
      <c r="I28" s="57"/>
      <c r="J28" s="57"/>
    </row>
    <row r="29" spans="1:10" ht="12.75" hidden="1">
      <c r="A29" s="57"/>
      <c r="B29" s="57"/>
      <c r="C29" s="57"/>
      <c r="D29" s="57"/>
      <c r="E29" s="57"/>
      <c r="F29" s="57"/>
      <c r="G29" s="57"/>
      <c r="H29" s="57"/>
      <c r="I29" s="57"/>
      <c r="J29" s="57"/>
    </row>
    <row r="30" spans="1:10" ht="12.75" hidden="1">
      <c r="A30" s="86" t="s">
        <v>200</v>
      </c>
      <c r="B30" s="86"/>
      <c r="C30" s="86"/>
      <c r="D30" s="86"/>
      <c r="E30" s="86"/>
      <c r="F30" s="86"/>
      <c r="G30" s="86"/>
      <c r="H30" s="86"/>
      <c r="I30" s="118">
        <v>38299</v>
      </c>
      <c r="J30" s="119"/>
    </row>
    <row r="31" spans="1:10" ht="12.75" hidden="1">
      <c r="A31" s="87"/>
      <c r="B31" s="87" t="s">
        <v>203</v>
      </c>
      <c r="C31" s="87"/>
      <c r="D31" s="87"/>
      <c r="E31" s="87"/>
      <c r="F31" s="87"/>
      <c r="G31" s="87"/>
      <c r="H31" s="87"/>
      <c r="I31" s="88"/>
      <c r="J31" s="88"/>
    </row>
    <row r="32" spans="1:10" ht="12.75" hidden="1">
      <c r="A32" s="86" t="s">
        <v>202</v>
      </c>
      <c r="B32" s="86"/>
      <c r="C32" s="86"/>
      <c r="D32" s="86"/>
      <c r="E32" s="86"/>
      <c r="F32" s="86"/>
      <c r="G32" s="86"/>
      <c r="H32" s="86"/>
      <c r="I32" s="118">
        <v>38404</v>
      </c>
      <c r="J32" s="119"/>
    </row>
    <row r="33" spans="1:10" ht="12.75" hidden="1">
      <c r="A33" s="89"/>
      <c r="B33" s="89" t="s">
        <v>204</v>
      </c>
      <c r="C33" s="89"/>
      <c r="D33" s="89"/>
      <c r="E33" s="89"/>
      <c r="F33" s="89"/>
      <c r="G33" s="89"/>
      <c r="H33" s="89"/>
      <c r="I33" s="90"/>
      <c r="J33" s="90"/>
    </row>
    <row r="34" spans="1:10" ht="12.75" hidden="1">
      <c r="A34" s="91"/>
      <c r="B34" s="87" t="s">
        <v>205</v>
      </c>
      <c r="C34" s="91"/>
      <c r="D34" s="91"/>
      <c r="E34" s="91"/>
      <c r="F34" s="91"/>
      <c r="G34" s="91"/>
      <c r="H34" s="91"/>
      <c r="I34" s="91"/>
      <c r="J34" s="91"/>
    </row>
    <row r="35" spans="1:10" ht="12.75" hidden="1">
      <c r="A35" s="92" t="s">
        <v>216</v>
      </c>
      <c r="B35" s="92"/>
      <c r="C35" s="92"/>
      <c r="D35" s="92"/>
      <c r="E35" s="92"/>
      <c r="F35" s="92"/>
      <c r="G35" s="92"/>
      <c r="H35" s="92"/>
      <c r="I35" s="92"/>
      <c r="J35" s="93">
        <v>38545</v>
      </c>
    </row>
    <row r="36" spans="1:10" ht="12.75" hidden="1">
      <c r="A36" s="91"/>
      <c r="B36" s="91" t="s">
        <v>217</v>
      </c>
      <c r="C36" s="91"/>
      <c r="D36" s="91"/>
      <c r="E36" s="91"/>
      <c r="F36" s="91"/>
      <c r="G36" s="91"/>
      <c r="H36" s="91"/>
      <c r="I36" s="91"/>
      <c r="J36" s="91"/>
    </row>
    <row r="37" spans="1:10" ht="12.75" hidden="1">
      <c r="A37" s="53" t="s">
        <v>266</v>
      </c>
      <c r="B37" s="53"/>
      <c r="C37" s="53"/>
      <c r="D37" s="53"/>
      <c r="E37" s="53"/>
      <c r="F37" s="53"/>
      <c r="G37" s="53"/>
      <c r="H37" s="53"/>
      <c r="I37" s="53"/>
      <c r="J37" s="102">
        <v>39254</v>
      </c>
    </row>
    <row r="38" spans="1:10" ht="12.75" hidden="1">
      <c r="A38" s="53"/>
      <c r="B38" s="53" t="s">
        <v>267</v>
      </c>
      <c r="C38" s="53"/>
      <c r="D38" s="53"/>
      <c r="E38" s="53"/>
      <c r="F38" s="53"/>
      <c r="G38" s="53"/>
      <c r="H38" s="53"/>
      <c r="I38" s="53"/>
      <c r="J38" s="53"/>
    </row>
    <row r="39" spans="1:10" ht="12.75" hidden="1">
      <c r="A39" s="91"/>
      <c r="B39" s="91" t="s">
        <v>268</v>
      </c>
      <c r="C39" s="91"/>
      <c r="D39" s="91"/>
      <c r="E39" s="91"/>
      <c r="F39" s="91"/>
      <c r="G39" s="91"/>
      <c r="H39" s="91"/>
      <c r="I39" s="91"/>
      <c r="J39" s="91"/>
    </row>
    <row r="40" spans="1:10" ht="12.75" hidden="1">
      <c r="A40" s="53" t="s">
        <v>272</v>
      </c>
      <c r="B40" s="53"/>
      <c r="C40" s="53"/>
      <c r="D40" s="53"/>
      <c r="E40" s="53"/>
      <c r="F40" s="53"/>
      <c r="G40" s="53"/>
      <c r="H40" s="53"/>
      <c r="I40" s="53"/>
      <c r="J40" s="102">
        <v>39681</v>
      </c>
    </row>
    <row r="41" spans="1:10" ht="12.75" hidden="1">
      <c r="A41" s="91"/>
      <c r="B41" s="91" t="s">
        <v>273</v>
      </c>
      <c r="C41" s="91"/>
      <c r="D41" s="91"/>
      <c r="E41" s="91"/>
      <c r="F41" s="91"/>
      <c r="G41" s="91"/>
      <c r="H41" s="91"/>
      <c r="I41" s="91"/>
      <c r="J41" s="91"/>
    </row>
    <row r="42" spans="1:10" ht="12.75" hidden="1">
      <c r="A42" s="53" t="s">
        <v>276</v>
      </c>
      <c r="B42" s="53"/>
      <c r="C42" s="53"/>
      <c r="D42" s="53"/>
      <c r="E42" s="53"/>
      <c r="F42" s="53"/>
      <c r="G42" s="53"/>
      <c r="H42" s="53"/>
      <c r="I42" s="53"/>
      <c r="J42" s="102">
        <v>40015</v>
      </c>
    </row>
    <row r="43" spans="1:10" ht="12.75" hidden="1">
      <c r="A43" s="91"/>
      <c r="B43" s="91" t="s">
        <v>277</v>
      </c>
      <c r="C43" s="91"/>
      <c r="D43" s="91"/>
      <c r="E43" s="91"/>
      <c r="F43" s="91"/>
      <c r="G43" s="91"/>
      <c r="H43" s="91"/>
      <c r="I43" s="91"/>
      <c r="J43" s="91"/>
    </row>
    <row r="44" spans="1:10" ht="12.75" hidden="1">
      <c r="A44" s="53" t="s">
        <v>278</v>
      </c>
      <c r="B44" s="53"/>
      <c r="C44" s="53"/>
      <c r="D44" s="53"/>
      <c r="E44" s="53"/>
      <c r="F44" s="53"/>
      <c r="G44" s="53"/>
      <c r="H44" s="53"/>
      <c r="I44" s="53"/>
      <c r="J44" s="102">
        <v>40081</v>
      </c>
    </row>
    <row r="45" spans="1:10" ht="12.75" hidden="1">
      <c r="A45" s="91"/>
      <c r="B45" s="91" t="s">
        <v>279</v>
      </c>
      <c r="C45" s="91"/>
      <c r="D45" s="91"/>
      <c r="E45" s="91"/>
      <c r="F45" s="91"/>
      <c r="G45" s="91"/>
      <c r="H45" s="91"/>
      <c r="I45" s="91"/>
      <c r="J45" s="91"/>
    </row>
    <row r="46" spans="1:10" ht="12.75" hidden="1">
      <c r="A46" s="105" t="s">
        <v>286</v>
      </c>
      <c r="B46" s="53"/>
      <c r="C46" s="53"/>
      <c r="D46" s="53"/>
      <c r="E46" s="53"/>
      <c r="F46" s="53"/>
      <c r="G46" s="53"/>
      <c r="H46" s="53"/>
      <c r="I46" s="53"/>
      <c r="J46" s="102">
        <v>40767</v>
      </c>
    </row>
    <row r="47" spans="1:10" ht="12.75" hidden="1">
      <c r="A47" s="105"/>
      <c r="B47" s="120" t="s">
        <v>287</v>
      </c>
      <c r="C47" s="120"/>
      <c r="D47" s="120"/>
      <c r="E47" s="120"/>
      <c r="F47" s="120"/>
      <c r="G47" s="120"/>
      <c r="H47" s="120"/>
      <c r="I47" s="120"/>
      <c r="J47" s="102"/>
    </row>
    <row r="48" spans="1:10" ht="12.75" hidden="1">
      <c r="A48" s="91"/>
      <c r="B48" s="121"/>
      <c r="C48" s="121"/>
      <c r="D48" s="121"/>
      <c r="E48" s="121"/>
      <c r="F48" s="121"/>
      <c r="G48" s="121"/>
      <c r="H48" s="121"/>
      <c r="I48" s="121"/>
      <c r="J48" s="91"/>
    </row>
    <row r="49" spans="1:10" ht="12.75" hidden="1">
      <c r="A49" s="108" t="s">
        <v>288</v>
      </c>
      <c r="J49" s="102">
        <v>40816</v>
      </c>
    </row>
    <row r="50" spans="1:10" ht="12.75" hidden="1">
      <c r="A50" s="109"/>
      <c r="B50" s="110" t="s">
        <v>289</v>
      </c>
      <c r="C50" s="109"/>
      <c r="D50" s="109"/>
      <c r="E50" s="109"/>
      <c r="F50" s="109"/>
      <c r="G50" s="109"/>
      <c r="H50" s="109"/>
      <c r="I50" s="109"/>
      <c r="J50" s="109"/>
    </row>
  </sheetData>
  <sheetProtection password="C612" sheet="1" objects="1" scenarios="1"/>
  <mergeCells count="4">
    <mergeCell ref="I27:J27"/>
    <mergeCell ref="I30:J30"/>
    <mergeCell ref="I32:J32"/>
    <mergeCell ref="B47:I48"/>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4"/>
  <dimension ref="A1:AA31"/>
  <sheetViews>
    <sheetView zoomScalePageLayoutView="0" workbookViewId="0" topLeftCell="A1">
      <pane xSplit="1" topLeftCell="B1" activePane="topRight" state="frozen"/>
      <selection pane="topLeft" activeCell="D8" sqref="D8:H9"/>
      <selection pane="topRight" activeCell="D8" sqref="D8:H9"/>
    </sheetView>
  </sheetViews>
  <sheetFormatPr defaultColWidth="0" defaultRowHeight="12.75" zeroHeight="1"/>
  <cols>
    <col min="1" max="1" width="50.57421875" style="1" customWidth="1"/>
    <col min="2" max="13" width="10.140625" style="1" bestFit="1" customWidth="1"/>
    <col min="14" max="14" width="10.57421875" style="1" bestFit="1" customWidth="1"/>
    <col min="15" max="15" width="10.140625" style="1" bestFit="1" customWidth="1"/>
    <col min="16" max="19" width="10.57421875" style="1" bestFit="1" customWidth="1"/>
    <col min="20" max="20" width="11.140625" style="1" bestFit="1" customWidth="1"/>
    <col min="21" max="21" width="10.57421875" style="1" bestFit="1" customWidth="1"/>
    <col min="22" max="23" width="9.140625" style="1" hidden="1" customWidth="1"/>
    <col min="24" max="24" width="43.421875" style="1" hidden="1" customWidth="1"/>
    <col min="25" max="25" width="57.57421875" style="1" hidden="1" customWidth="1"/>
    <col min="26" max="26" width="11.421875" style="1" hidden="1" customWidth="1"/>
    <col min="27" max="27" width="12.00390625" style="1" hidden="1" customWidth="1"/>
    <col min="28" max="16384" width="9.140625" style="1" hidden="1" customWidth="1"/>
  </cols>
  <sheetData>
    <row r="1" spans="1:27" ht="12.75">
      <c r="A1" s="6" t="s">
        <v>8</v>
      </c>
      <c r="B1" s="44">
        <v>0.25</v>
      </c>
      <c r="C1" s="44">
        <v>0.3125</v>
      </c>
      <c r="D1" s="44">
        <v>0.375</v>
      </c>
      <c r="E1" s="44">
        <v>0.4375</v>
      </c>
      <c r="F1" s="44">
        <v>0.5</v>
      </c>
      <c r="G1" s="44">
        <v>0.5625</v>
      </c>
      <c r="H1" s="44">
        <v>0.625</v>
      </c>
      <c r="I1" s="44">
        <v>0.75</v>
      </c>
      <c r="J1" s="44">
        <v>0.875</v>
      </c>
      <c r="K1" s="44">
        <v>1</v>
      </c>
      <c r="L1" s="44">
        <v>1.125</v>
      </c>
      <c r="M1" s="44">
        <v>1.25</v>
      </c>
      <c r="N1" s="44">
        <v>1.375</v>
      </c>
      <c r="O1" s="44">
        <v>1.5</v>
      </c>
      <c r="P1" s="44">
        <v>1.75</v>
      </c>
      <c r="Q1" s="44">
        <v>2</v>
      </c>
      <c r="R1" s="44">
        <v>2.25</v>
      </c>
      <c r="S1" s="44">
        <v>2.5</v>
      </c>
      <c r="T1" s="44">
        <v>2.75</v>
      </c>
      <c r="U1" s="44">
        <v>3</v>
      </c>
      <c r="X1" s="10" t="s">
        <v>12</v>
      </c>
      <c r="Y1" s="10" t="s">
        <v>13</v>
      </c>
      <c r="Z1" s="10" t="s">
        <v>14</v>
      </c>
      <c r="AA1" s="10" t="s">
        <v>15</v>
      </c>
    </row>
    <row r="2" spans="1:27" ht="12.75">
      <c r="A2" s="5" t="s">
        <v>275</v>
      </c>
      <c r="B2" s="3">
        <v>0.0318</v>
      </c>
      <c r="C2" s="3">
        <v>0.0524</v>
      </c>
      <c r="D2" s="3">
        <v>0.0775</v>
      </c>
      <c r="E2" s="3">
        <v>0.1063</v>
      </c>
      <c r="F2" s="3">
        <v>0.1419</v>
      </c>
      <c r="G2" s="3">
        <v>0.182</v>
      </c>
      <c r="H2" s="3">
        <v>0.226</v>
      </c>
      <c r="I2" s="3">
        <v>0.334</v>
      </c>
      <c r="J2" s="3">
        <v>0.462</v>
      </c>
      <c r="K2" s="3">
        <v>0.606</v>
      </c>
      <c r="L2" s="3">
        <v>0.763</v>
      </c>
      <c r="M2" s="3">
        <v>0.969</v>
      </c>
      <c r="N2" s="3">
        <v>1.155</v>
      </c>
      <c r="O2" s="3">
        <v>1.405</v>
      </c>
      <c r="P2" s="3">
        <v>1.9</v>
      </c>
      <c r="Q2" s="3">
        <v>2.5</v>
      </c>
      <c r="R2" s="3">
        <v>3.25</v>
      </c>
      <c r="S2" s="3">
        <v>4</v>
      </c>
      <c r="T2" s="3">
        <v>4.93</v>
      </c>
      <c r="U2" s="3">
        <v>5.97</v>
      </c>
      <c r="X2" s="12" t="s">
        <v>182</v>
      </c>
      <c r="Y2" s="12" t="s">
        <v>187</v>
      </c>
      <c r="Z2" s="12">
        <v>4800</v>
      </c>
      <c r="AA2" s="35">
        <v>25000</v>
      </c>
    </row>
    <row r="3" spans="1:27" ht="12.75">
      <c r="A3" s="4" t="s">
        <v>113</v>
      </c>
      <c r="B3" s="2">
        <v>30000</v>
      </c>
      <c r="C3" s="2">
        <v>30000</v>
      </c>
      <c r="D3" s="2">
        <v>30000</v>
      </c>
      <c r="E3" s="2">
        <v>30000</v>
      </c>
      <c r="F3" s="2">
        <v>30000</v>
      </c>
      <c r="G3" s="2">
        <v>30000</v>
      </c>
      <c r="H3" s="2">
        <v>30000</v>
      </c>
      <c r="I3" s="2">
        <v>30000</v>
      </c>
      <c r="J3" s="2">
        <v>30000</v>
      </c>
      <c r="K3" s="2">
        <v>30000</v>
      </c>
      <c r="L3" s="2">
        <v>30000</v>
      </c>
      <c r="M3" s="2">
        <v>30000</v>
      </c>
      <c r="N3" s="2">
        <v>30000</v>
      </c>
      <c r="O3" s="2">
        <v>30000</v>
      </c>
      <c r="P3" s="2">
        <v>30000</v>
      </c>
      <c r="Q3" s="2">
        <v>30000</v>
      </c>
      <c r="R3" s="2">
        <v>30000</v>
      </c>
      <c r="S3" s="2">
        <v>30000</v>
      </c>
      <c r="T3" s="2">
        <v>30000</v>
      </c>
      <c r="U3" s="2">
        <v>30000</v>
      </c>
      <c r="X3" s="12" t="s">
        <v>201</v>
      </c>
      <c r="Y3" s="12" t="s">
        <v>206</v>
      </c>
      <c r="Z3" s="12">
        <v>4800</v>
      </c>
      <c r="AA3" s="35">
        <v>15000</v>
      </c>
    </row>
    <row r="4" spans="1:27" ht="12.75">
      <c r="A4" s="4" t="s">
        <v>108</v>
      </c>
      <c r="B4" s="2">
        <v>100000</v>
      </c>
      <c r="C4" s="2">
        <v>100000</v>
      </c>
      <c r="D4" s="2">
        <v>100000</v>
      </c>
      <c r="E4" s="2">
        <v>100000</v>
      </c>
      <c r="F4" s="2">
        <v>100000</v>
      </c>
      <c r="G4" s="2">
        <v>100000</v>
      </c>
      <c r="H4" s="2">
        <v>100000</v>
      </c>
      <c r="I4" s="2">
        <v>100000</v>
      </c>
      <c r="J4" s="2">
        <v>80000</v>
      </c>
      <c r="K4" s="2">
        <v>80000</v>
      </c>
      <c r="L4" s="2">
        <v>65000</v>
      </c>
      <c r="M4" s="2">
        <v>65000</v>
      </c>
      <c r="N4" s="2">
        <v>50000</v>
      </c>
      <c r="O4" s="2">
        <v>50000</v>
      </c>
      <c r="P4" s="2" t="s">
        <v>0</v>
      </c>
      <c r="Q4" s="2" t="s">
        <v>0</v>
      </c>
      <c r="R4" s="2" t="s">
        <v>0</v>
      </c>
      <c r="S4" s="2" t="s">
        <v>0</v>
      </c>
      <c r="T4" s="2" t="s">
        <v>0</v>
      </c>
      <c r="U4" s="2" t="s">
        <v>0</v>
      </c>
      <c r="X4" s="12" t="s">
        <v>231</v>
      </c>
      <c r="Y4" s="12" t="s">
        <v>228</v>
      </c>
      <c r="Z4" s="12">
        <v>4800</v>
      </c>
      <c r="AA4" s="35">
        <v>15000</v>
      </c>
    </row>
    <row r="5" spans="1:27" ht="12.75">
      <c r="A5" s="4" t="s">
        <v>35</v>
      </c>
      <c r="B5" s="2">
        <v>96000</v>
      </c>
      <c r="C5" s="2">
        <v>96000</v>
      </c>
      <c r="D5" s="2">
        <v>96000</v>
      </c>
      <c r="E5" s="2">
        <v>96000</v>
      </c>
      <c r="F5" s="2">
        <v>96000</v>
      </c>
      <c r="G5" s="2">
        <v>96000</v>
      </c>
      <c r="H5" s="2">
        <v>96000</v>
      </c>
      <c r="I5" s="2">
        <v>96000</v>
      </c>
      <c r="J5" s="2">
        <v>80000</v>
      </c>
      <c r="K5" s="2">
        <v>80000</v>
      </c>
      <c r="L5" s="2">
        <v>65000</v>
      </c>
      <c r="M5" s="2">
        <v>65000</v>
      </c>
      <c r="N5" s="2">
        <v>50000</v>
      </c>
      <c r="O5" s="2">
        <v>50000</v>
      </c>
      <c r="P5" s="2" t="s">
        <v>0</v>
      </c>
      <c r="Q5" s="2" t="s">
        <v>0</v>
      </c>
      <c r="R5" s="2" t="s">
        <v>0</v>
      </c>
      <c r="S5" s="2" t="s">
        <v>0</v>
      </c>
      <c r="T5" s="2" t="s">
        <v>0</v>
      </c>
      <c r="U5" s="2" t="s">
        <v>0</v>
      </c>
      <c r="X5" s="12" t="s">
        <v>230</v>
      </c>
      <c r="Y5" s="12" t="s">
        <v>232</v>
      </c>
      <c r="Z5" s="12">
        <v>4800</v>
      </c>
      <c r="AA5" s="35">
        <v>15000</v>
      </c>
    </row>
    <row r="6" spans="1:27" ht="12.75">
      <c r="A6" s="4" t="s">
        <v>33</v>
      </c>
      <c r="B6" s="2">
        <v>80000</v>
      </c>
      <c r="C6" s="2">
        <v>80000</v>
      </c>
      <c r="D6" s="2">
        <v>80000</v>
      </c>
      <c r="E6" s="2">
        <v>80000</v>
      </c>
      <c r="F6" s="2">
        <v>80000</v>
      </c>
      <c r="G6" s="2">
        <v>80000</v>
      </c>
      <c r="H6" s="2">
        <v>80000</v>
      </c>
      <c r="I6" s="2">
        <v>80000</v>
      </c>
      <c r="J6" s="2">
        <v>80000</v>
      </c>
      <c r="K6" s="2">
        <v>80000</v>
      </c>
      <c r="L6" s="2">
        <v>80000</v>
      </c>
      <c r="M6" s="2">
        <v>80000</v>
      </c>
      <c r="N6" s="2">
        <v>80000</v>
      </c>
      <c r="O6" s="2">
        <v>80000</v>
      </c>
      <c r="P6" s="2">
        <v>80000</v>
      </c>
      <c r="Q6" s="2">
        <v>80000</v>
      </c>
      <c r="R6" s="2">
        <v>80000</v>
      </c>
      <c r="S6" s="2">
        <v>80000</v>
      </c>
      <c r="T6" s="2">
        <v>80000</v>
      </c>
      <c r="U6" s="2">
        <v>80000</v>
      </c>
      <c r="X6" s="9" t="s">
        <v>99</v>
      </c>
      <c r="Y6" s="9" t="s">
        <v>100</v>
      </c>
      <c r="Z6" s="9">
        <v>600</v>
      </c>
      <c r="AA6" s="9">
        <v>1500</v>
      </c>
    </row>
    <row r="7" spans="1:27" ht="12.75">
      <c r="A7" s="4" t="s">
        <v>34</v>
      </c>
      <c r="B7" s="2">
        <v>85000</v>
      </c>
      <c r="C7" s="2">
        <v>85000</v>
      </c>
      <c r="D7" s="2">
        <v>85000</v>
      </c>
      <c r="E7" s="2">
        <v>85000</v>
      </c>
      <c r="F7" s="2">
        <v>85000</v>
      </c>
      <c r="G7" s="2">
        <v>85000</v>
      </c>
      <c r="H7" s="2">
        <v>85000</v>
      </c>
      <c r="I7" s="2">
        <v>85000</v>
      </c>
      <c r="J7" s="2">
        <v>85000</v>
      </c>
      <c r="K7" s="2">
        <v>85000</v>
      </c>
      <c r="L7" s="2">
        <v>85000</v>
      </c>
      <c r="M7" s="2">
        <v>85000</v>
      </c>
      <c r="N7" s="2">
        <v>85000</v>
      </c>
      <c r="O7" s="2">
        <v>85000</v>
      </c>
      <c r="P7" s="2">
        <v>85000</v>
      </c>
      <c r="Q7" s="2">
        <v>85000</v>
      </c>
      <c r="R7" s="2">
        <v>85000</v>
      </c>
      <c r="S7" s="2">
        <v>85000</v>
      </c>
      <c r="T7" s="2">
        <v>85000</v>
      </c>
      <c r="U7" s="2">
        <v>85000</v>
      </c>
      <c r="X7" s="12" t="s">
        <v>41</v>
      </c>
      <c r="Y7" s="12" t="s">
        <v>42</v>
      </c>
      <c r="Z7" s="12">
        <v>1500</v>
      </c>
      <c r="AA7" s="35">
        <v>23000</v>
      </c>
    </row>
    <row r="8" spans="1:27" ht="12.75">
      <c r="A8" s="4" t="s">
        <v>109</v>
      </c>
      <c r="B8" s="2">
        <v>105000</v>
      </c>
      <c r="C8" s="2">
        <v>105000</v>
      </c>
      <c r="D8" s="2">
        <v>105000</v>
      </c>
      <c r="E8" s="2">
        <v>105000</v>
      </c>
      <c r="F8" s="2">
        <v>105000</v>
      </c>
      <c r="G8" s="2">
        <v>105000</v>
      </c>
      <c r="H8" s="2">
        <v>105000</v>
      </c>
      <c r="I8" s="2">
        <v>105000</v>
      </c>
      <c r="J8" s="2">
        <v>105000</v>
      </c>
      <c r="K8" s="2">
        <v>105000</v>
      </c>
      <c r="L8" s="2">
        <v>105000</v>
      </c>
      <c r="M8" s="2">
        <v>105000</v>
      </c>
      <c r="N8" s="2">
        <v>105000</v>
      </c>
      <c r="O8" s="2">
        <v>105000</v>
      </c>
      <c r="P8" s="2">
        <v>105000</v>
      </c>
      <c r="Q8" s="2">
        <v>105000</v>
      </c>
      <c r="R8" s="2">
        <v>105000</v>
      </c>
      <c r="S8" s="2">
        <v>105000</v>
      </c>
      <c r="T8" s="2">
        <v>95000</v>
      </c>
      <c r="U8" s="2">
        <v>95000</v>
      </c>
      <c r="X8" s="12" t="s">
        <v>43</v>
      </c>
      <c r="Y8" s="12" t="s">
        <v>44</v>
      </c>
      <c r="Z8" s="12">
        <v>5000</v>
      </c>
      <c r="AA8" s="35">
        <v>40000</v>
      </c>
    </row>
    <row r="9" spans="1:27" ht="12.75">
      <c r="A9" s="4" t="s">
        <v>106</v>
      </c>
      <c r="B9" s="2">
        <v>30000</v>
      </c>
      <c r="C9" s="2">
        <v>30000</v>
      </c>
      <c r="D9" s="2">
        <v>30000</v>
      </c>
      <c r="E9" s="2">
        <v>30000</v>
      </c>
      <c r="F9" s="2">
        <v>30000</v>
      </c>
      <c r="G9" s="2">
        <v>30000</v>
      </c>
      <c r="H9" s="2">
        <v>30000</v>
      </c>
      <c r="I9" s="2">
        <v>30000</v>
      </c>
      <c r="J9" s="2">
        <v>30000</v>
      </c>
      <c r="K9" s="2">
        <v>30000</v>
      </c>
      <c r="L9" s="2">
        <v>30000</v>
      </c>
      <c r="M9" s="2">
        <v>30000</v>
      </c>
      <c r="N9" s="2">
        <v>30000</v>
      </c>
      <c r="O9" s="2">
        <v>30000</v>
      </c>
      <c r="P9" s="2">
        <v>30000</v>
      </c>
      <c r="Q9" s="2">
        <v>30000</v>
      </c>
      <c r="R9" s="2">
        <v>30000</v>
      </c>
      <c r="S9" s="2">
        <v>30000</v>
      </c>
      <c r="T9" s="2">
        <v>30000</v>
      </c>
      <c r="U9" s="2">
        <v>30000</v>
      </c>
      <c r="X9" s="12" t="s">
        <v>259</v>
      </c>
      <c r="Y9" s="12" t="s">
        <v>261</v>
      </c>
      <c r="Z9" s="12">
        <v>2500</v>
      </c>
      <c r="AA9" s="35">
        <v>24000</v>
      </c>
    </row>
    <row r="10" spans="1:27" ht="12.75">
      <c r="A10" s="4" t="s">
        <v>110</v>
      </c>
      <c r="B10" s="2">
        <v>30000</v>
      </c>
      <c r="C10" s="2">
        <v>30000</v>
      </c>
      <c r="D10" s="2">
        <v>30000</v>
      </c>
      <c r="E10" s="2">
        <v>30000</v>
      </c>
      <c r="F10" s="2">
        <v>30000</v>
      </c>
      <c r="G10" s="2">
        <v>30000</v>
      </c>
      <c r="H10" s="2">
        <v>30000</v>
      </c>
      <c r="I10" s="2">
        <v>30000</v>
      </c>
      <c r="J10" s="2">
        <v>30000</v>
      </c>
      <c r="K10" s="2">
        <v>30000</v>
      </c>
      <c r="L10" s="2">
        <v>30000</v>
      </c>
      <c r="M10" s="2">
        <v>30000</v>
      </c>
      <c r="N10" s="2">
        <v>30000</v>
      </c>
      <c r="O10" s="2">
        <v>30000</v>
      </c>
      <c r="P10" s="2">
        <v>30000</v>
      </c>
      <c r="Q10" s="2">
        <v>30000</v>
      </c>
      <c r="R10" s="2">
        <v>30000</v>
      </c>
      <c r="S10" s="2">
        <v>30000</v>
      </c>
      <c r="T10" s="2">
        <v>30000</v>
      </c>
      <c r="U10" s="2">
        <v>30000</v>
      </c>
      <c r="X10" s="12" t="s">
        <v>260</v>
      </c>
      <c r="Y10" s="12" t="s">
        <v>262</v>
      </c>
      <c r="Z10" s="12">
        <v>900</v>
      </c>
      <c r="AA10" s="35">
        <v>24000</v>
      </c>
    </row>
    <row r="11" spans="1:27" ht="12.75">
      <c r="A11" s="4" t="s">
        <v>111</v>
      </c>
      <c r="B11" s="2">
        <v>100000</v>
      </c>
      <c r="C11" s="2">
        <v>100000</v>
      </c>
      <c r="D11" s="2">
        <v>100000</v>
      </c>
      <c r="E11" s="2">
        <v>100000</v>
      </c>
      <c r="F11" s="2">
        <v>100000</v>
      </c>
      <c r="G11" s="2">
        <v>100000</v>
      </c>
      <c r="H11" s="2">
        <v>100000</v>
      </c>
      <c r="I11" s="2">
        <v>100000</v>
      </c>
      <c r="J11" s="2">
        <v>80000</v>
      </c>
      <c r="K11" s="2">
        <v>80000</v>
      </c>
      <c r="L11" s="2">
        <v>65000</v>
      </c>
      <c r="M11" s="2">
        <v>65000</v>
      </c>
      <c r="N11" s="2">
        <v>50000</v>
      </c>
      <c r="O11" s="2">
        <v>50000</v>
      </c>
      <c r="P11" s="2" t="s">
        <v>0</v>
      </c>
      <c r="Q11" s="2" t="s">
        <v>0</v>
      </c>
      <c r="R11" s="2" t="s">
        <v>0</v>
      </c>
      <c r="S11" s="2" t="s">
        <v>0</v>
      </c>
      <c r="T11" s="2" t="s">
        <v>0</v>
      </c>
      <c r="U11" s="2" t="s">
        <v>0</v>
      </c>
      <c r="X11" s="12" t="s">
        <v>45</v>
      </c>
      <c r="Y11" s="12" t="s">
        <v>46</v>
      </c>
      <c r="Z11" s="12">
        <v>6400</v>
      </c>
      <c r="AA11" s="35">
        <v>15000</v>
      </c>
    </row>
    <row r="12" spans="1:27" ht="12.75">
      <c r="A12" s="4" t="s">
        <v>36</v>
      </c>
      <c r="B12" s="2">
        <v>95000</v>
      </c>
      <c r="C12" s="2">
        <v>95000</v>
      </c>
      <c r="D12" s="2">
        <v>95000</v>
      </c>
      <c r="E12" s="2">
        <v>95000</v>
      </c>
      <c r="F12" s="2">
        <v>95000</v>
      </c>
      <c r="G12" s="2">
        <v>95000</v>
      </c>
      <c r="H12" s="2">
        <v>95000</v>
      </c>
      <c r="I12" s="2">
        <v>95000</v>
      </c>
      <c r="J12" s="2">
        <v>80000</v>
      </c>
      <c r="K12" s="2">
        <v>80000</v>
      </c>
      <c r="L12" s="2">
        <v>65000</v>
      </c>
      <c r="M12" s="2">
        <v>65000</v>
      </c>
      <c r="N12" s="2">
        <v>50000</v>
      </c>
      <c r="O12" s="2">
        <v>50000</v>
      </c>
      <c r="P12" s="2" t="s">
        <v>0</v>
      </c>
      <c r="Q12" s="2" t="s">
        <v>0</v>
      </c>
      <c r="R12" s="2" t="s">
        <v>0</v>
      </c>
      <c r="S12" s="2" t="s">
        <v>0</v>
      </c>
      <c r="T12" s="2" t="s">
        <v>0</v>
      </c>
      <c r="U12" s="2" t="s">
        <v>0</v>
      </c>
      <c r="X12" s="12" t="s">
        <v>101</v>
      </c>
      <c r="Y12" s="9" t="s">
        <v>105</v>
      </c>
      <c r="Z12" s="9">
        <v>3600</v>
      </c>
      <c r="AA12" s="35">
        <v>15000</v>
      </c>
    </row>
    <row r="13" spans="1:27" ht="12.75">
      <c r="A13" s="4" t="s">
        <v>112</v>
      </c>
      <c r="B13" s="2">
        <v>105000</v>
      </c>
      <c r="C13" s="2">
        <v>105000</v>
      </c>
      <c r="D13" s="2">
        <v>105000</v>
      </c>
      <c r="E13" s="2">
        <v>105000</v>
      </c>
      <c r="F13" s="2">
        <v>105000</v>
      </c>
      <c r="G13" s="2">
        <v>105000</v>
      </c>
      <c r="H13" s="2">
        <v>105000</v>
      </c>
      <c r="I13" s="2">
        <v>105000</v>
      </c>
      <c r="J13" s="2">
        <v>105000</v>
      </c>
      <c r="K13" s="2">
        <v>105000</v>
      </c>
      <c r="L13" s="2">
        <v>105000</v>
      </c>
      <c r="M13" s="2">
        <v>105000</v>
      </c>
      <c r="N13" s="2">
        <v>105000</v>
      </c>
      <c r="O13" s="2">
        <v>105000</v>
      </c>
      <c r="P13" s="2">
        <v>105000</v>
      </c>
      <c r="Q13" s="2">
        <v>105000</v>
      </c>
      <c r="R13" s="2">
        <v>105000</v>
      </c>
      <c r="S13" s="2">
        <v>105000</v>
      </c>
      <c r="T13" s="2" t="s">
        <v>0</v>
      </c>
      <c r="U13" s="2" t="s">
        <v>0</v>
      </c>
      <c r="X13" s="12" t="s">
        <v>102</v>
      </c>
      <c r="Y13" s="9" t="s">
        <v>105</v>
      </c>
      <c r="Z13" s="9">
        <v>5400</v>
      </c>
      <c r="AA13" s="35">
        <v>15000</v>
      </c>
    </row>
    <row r="14" spans="1:27" ht="12.75">
      <c r="A14" s="4" t="s">
        <v>107</v>
      </c>
      <c r="B14" s="2" t="s">
        <v>0</v>
      </c>
      <c r="C14" s="2" t="s">
        <v>0</v>
      </c>
      <c r="D14" s="2" t="s">
        <v>0</v>
      </c>
      <c r="E14" s="2" t="s">
        <v>0</v>
      </c>
      <c r="F14" s="2">
        <v>92000</v>
      </c>
      <c r="G14" s="2">
        <v>92000</v>
      </c>
      <c r="H14" s="2">
        <v>92000</v>
      </c>
      <c r="I14" s="2">
        <v>92000</v>
      </c>
      <c r="J14" s="2">
        <v>92000</v>
      </c>
      <c r="K14" s="2">
        <v>92000</v>
      </c>
      <c r="L14" s="2">
        <v>81000</v>
      </c>
      <c r="M14" s="2">
        <v>81000</v>
      </c>
      <c r="N14" s="2">
        <v>81000</v>
      </c>
      <c r="O14" s="2">
        <v>81000</v>
      </c>
      <c r="P14" s="2" t="s">
        <v>0</v>
      </c>
      <c r="Q14" s="2" t="s">
        <v>0</v>
      </c>
      <c r="R14" s="2" t="s">
        <v>0</v>
      </c>
      <c r="S14" s="2" t="s">
        <v>0</v>
      </c>
      <c r="T14" s="2" t="s">
        <v>0</v>
      </c>
      <c r="U14" s="2" t="s">
        <v>0</v>
      </c>
      <c r="X14" s="12" t="s">
        <v>103</v>
      </c>
      <c r="Y14" s="9" t="s">
        <v>105</v>
      </c>
      <c r="Z14" s="12">
        <v>4800</v>
      </c>
      <c r="AA14" s="35">
        <v>15000</v>
      </c>
    </row>
    <row r="15" spans="1:27" ht="12.75">
      <c r="A15" s="4" t="s">
        <v>19</v>
      </c>
      <c r="B15" s="2">
        <v>109000</v>
      </c>
      <c r="C15" s="2">
        <v>109000</v>
      </c>
      <c r="D15" s="2">
        <v>109000</v>
      </c>
      <c r="E15" s="2">
        <v>109000</v>
      </c>
      <c r="F15" s="2">
        <v>109000</v>
      </c>
      <c r="G15" s="2">
        <v>109000</v>
      </c>
      <c r="H15" s="2">
        <v>109000</v>
      </c>
      <c r="I15" s="2">
        <v>109000</v>
      </c>
      <c r="J15" s="2">
        <v>109000</v>
      </c>
      <c r="K15" s="2">
        <v>109000</v>
      </c>
      <c r="L15" s="2">
        <v>109000</v>
      </c>
      <c r="M15" s="2">
        <v>109000</v>
      </c>
      <c r="N15" s="2">
        <v>109000</v>
      </c>
      <c r="O15" s="2">
        <v>109000</v>
      </c>
      <c r="P15" s="2">
        <v>109000</v>
      </c>
      <c r="Q15" s="2">
        <v>109000</v>
      </c>
      <c r="R15" s="2">
        <v>109000</v>
      </c>
      <c r="S15" s="2">
        <v>109000</v>
      </c>
      <c r="T15" s="2">
        <v>99000</v>
      </c>
      <c r="U15" s="2">
        <v>99000</v>
      </c>
      <c r="X15" s="35" t="s">
        <v>104</v>
      </c>
      <c r="Y15" s="9" t="s">
        <v>105</v>
      </c>
      <c r="Z15" s="9">
        <v>6400</v>
      </c>
      <c r="AA15" s="35">
        <v>15000</v>
      </c>
    </row>
    <row r="16" spans="1:27" ht="12.75">
      <c r="A16" s="4" t="s">
        <v>20</v>
      </c>
      <c r="B16" s="2">
        <v>130000</v>
      </c>
      <c r="C16" s="2">
        <v>130000</v>
      </c>
      <c r="D16" s="2">
        <v>130000</v>
      </c>
      <c r="E16" s="2">
        <v>130000</v>
      </c>
      <c r="F16" s="2">
        <v>130000</v>
      </c>
      <c r="G16" s="2">
        <v>130000</v>
      </c>
      <c r="H16" s="2">
        <v>130000</v>
      </c>
      <c r="I16" s="2">
        <v>130000</v>
      </c>
      <c r="J16" s="2">
        <v>130000</v>
      </c>
      <c r="K16" s="2">
        <v>130000</v>
      </c>
      <c r="L16" s="2">
        <v>130000</v>
      </c>
      <c r="M16" s="2">
        <v>130000</v>
      </c>
      <c r="N16" s="2">
        <v>130000</v>
      </c>
      <c r="O16" s="2">
        <v>130000</v>
      </c>
      <c r="P16" s="2">
        <v>130000</v>
      </c>
      <c r="Q16" s="2">
        <v>130000</v>
      </c>
      <c r="R16" s="2">
        <v>130000</v>
      </c>
      <c r="S16" s="2">
        <v>130000</v>
      </c>
      <c r="T16" s="2">
        <v>115000</v>
      </c>
      <c r="U16" s="2">
        <v>115000</v>
      </c>
      <c r="X16" s="9" t="s">
        <v>172</v>
      </c>
      <c r="Y16" s="9" t="s">
        <v>177</v>
      </c>
      <c r="Z16" s="9">
        <v>4000</v>
      </c>
      <c r="AA16" s="9">
        <v>20000</v>
      </c>
    </row>
    <row r="17" spans="1:27" ht="12.75">
      <c r="A17" s="4" t="s">
        <v>1</v>
      </c>
      <c r="B17" s="2">
        <v>92000</v>
      </c>
      <c r="C17" s="2">
        <v>92000</v>
      </c>
      <c r="D17" s="2">
        <v>92000</v>
      </c>
      <c r="E17" s="2">
        <v>92000</v>
      </c>
      <c r="F17" s="2">
        <v>92000</v>
      </c>
      <c r="G17" s="2">
        <v>92000</v>
      </c>
      <c r="H17" s="2">
        <v>92000</v>
      </c>
      <c r="I17" s="2">
        <v>92000</v>
      </c>
      <c r="J17" s="2">
        <v>92000</v>
      </c>
      <c r="K17" s="2">
        <v>92000</v>
      </c>
      <c r="L17" s="2">
        <v>81000</v>
      </c>
      <c r="M17" s="2">
        <v>81000</v>
      </c>
      <c r="N17" s="2">
        <v>81000</v>
      </c>
      <c r="O17" s="2">
        <v>81000</v>
      </c>
      <c r="P17" s="2">
        <v>58000</v>
      </c>
      <c r="Q17" s="2">
        <v>58000</v>
      </c>
      <c r="R17" s="2">
        <v>58000</v>
      </c>
      <c r="S17" s="2">
        <v>58000</v>
      </c>
      <c r="T17" s="2">
        <v>58000</v>
      </c>
      <c r="U17" s="2">
        <v>58000</v>
      </c>
      <c r="X17" s="9" t="s">
        <v>173</v>
      </c>
      <c r="Y17" s="9" t="s">
        <v>229</v>
      </c>
      <c r="Z17" s="9">
        <v>4000</v>
      </c>
      <c r="AA17" s="9">
        <v>20000</v>
      </c>
    </row>
    <row r="18" spans="1:27" ht="12.75">
      <c r="A18" s="4" t="s">
        <v>2</v>
      </c>
      <c r="B18" s="2">
        <v>130000</v>
      </c>
      <c r="C18" s="2">
        <v>130000</v>
      </c>
      <c r="D18" s="2">
        <v>130000</v>
      </c>
      <c r="E18" s="2">
        <v>130000</v>
      </c>
      <c r="F18" s="2">
        <v>130000</v>
      </c>
      <c r="G18" s="2">
        <v>130000</v>
      </c>
      <c r="H18" s="2">
        <v>130000</v>
      </c>
      <c r="I18" s="2">
        <v>130000</v>
      </c>
      <c r="J18" s="2">
        <v>130000</v>
      </c>
      <c r="K18" s="2">
        <v>130000</v>
      </c>
      <c r="L18" s="2">
        <v>130000</v>
      </c>
      <c r="M18" s="2">
        <v>130000</v>
      </c>
      <c r="N18" s="2">
        <v>130000</v>
      </c>
      <c r="O18" s="2">
        <v>130000</v>
      </c>
      <c r="P18" s="2" t="s">
        <v>0</v>
      </c>
      <c r="Q18" s="2" t="s">
        <v>0</v>
      </c>
      <c r="R18" s="2" t="s">
        <v>0</v>
      </c>
      <c r="S18" s="2" t="s">
        <v>0</v>
      </c>
      <c r="T18" s="2" t="s">
        <v>0</v>
      </c>
      <c r="U18" s="2" t="s">
        <v>0</v>
      </c>
      <c r="X18" s="12" t="s">
        <v>47</v>
      </c>
      <c r="Y18" s="12" t="s">
        <v>176</v>
      </c>
      <c r="Z18" s="12">
        <v>10000</v>
      </c>
      <c r="AA18" s="35">
        <v>30000</v>
      </c>
    </row>
    <row r="19" spans="1:27" ht="12.75">
      <c r="A19" s="4" t="s">
        <v>280</v>
      </c>
      <c r="B19" s="2">
        <v>180000</v>
      </c>
      <c r="C19" s="2">
        <v>180000</v>
      </c>
      <c r="D19" s="2">
        <v>180000</v>
      </c>
      <c r="E19" s="2">
        <v>180000</v>
      </c>
      <c r="F19" s="2">
        <v>180000</v>
      </c>
      <c r="G19" s="2">
        <v>170000</v>
      </c>
      <c r="H19" s="2">
        <v>170000</v>
      </c>
      <c r="I19" s="2">
        <v>170000</v>
      </c>
      <c r="J19" s="2">
        <v>170000</v>
      </c>
      <c r="K19" s="2">
        <v>170000</v>
      </c>
      <c r="L19" s="2">
        <v>170000</v>
      </c>
      <c r="M19" s="2">
        <v>170000</v>
      </c>
      <c r="N19" s="2">
        <v>170000</v>
      </c>
      <c r="O19" s="2">
        <v>170000</v>
      </c>
      <c r="P19" s="2">
        <v>170000</v>
      </c>
      <c r="Q19" s="2">
        <v>170000</v>
      </c>
      <c r="R19" s="2">
        <v>170000</v>
      </c>
      <c r="S19" s="2">
        <v>170000</v>
      </c>
      <c r="T19" s="2">
        <v>170000</v>
      </c>
      <c r="U19" s="2">
        <v>170000</v>
      </c>
      <c r="X19" s="9" t="s">
        <v>178</v>
      </c>
      <c r="Y19" s="9" t="s">
        <v>183</v>
      </c>
      <c r="Z19" s="9">
        <v>6400</v>
      </c>
      <c r="AA19" s="9">
        <v>15000</v>
      </c>
    </row>
    <row r="20" spans="1:27" ht="12.75">
      <c r="A20" s="4" t="s">
        <v>21</v>
      </c>
      <c r="B20" s="2">
        <v>36000</v>
      </c>
      <c r="C20" s="2">
        <v>36000</v>
      </c>
      <c r="D20" s="2">
        <v>36000</v>
      </c>
      <c r="E20" s="2">
        <v>36000</v>
      </c>
      <c r="F20" s="2">
        <v>36000</v>
      </c>
      <c r="G20" s="2">
        <v>36000</v>
      </c>
      <c r="H20" s="2">
        <v>36000</v>
      </c>
      <c r="I20" s="2">
        <v>36000</v>
      </c>
      <c r="J20" s="2">
        <v>36000</v>
      </c>
      <c r="K20" s="2">
        <v>36000</v>
      </c>
      <c r="L20" s="2">
        <v>36000</v>
      </c>
      <c r="M20" s="2">
        <v>36000</v>
      </c>
      <c r="N20" s="2">
        <v>36000</v>
      </c>
      <c r="O20" s="2">
        <v>36000</v>
      </c>
      <c r="P20" s="2" t="s">
        <v>0</v>
      </c>
      <c r="Q20" s="2" t="s">
        <v>0</v>
      </c>
      <c r="R20" s="2" t="s">
        <v>0</v>
      </c>
      <c r="S20" s="2" t="s">
        <v>0</v>
      </c>
      <c r="T20" s="2" t="s">
        <v>0</v>
      </c>
      <c r="U20" s="2" t="s">
        <v>0</v>
      </c>
      <c r="X20" s="9" t="s">
        <v>185</v>
      </c>
      <c r="Y20" s="9" t="s">
        <v>179</v>
      </c>
      <c r="Z20" s="9">
        <v>6400</v>
      </c>
      <c r="AA20" s="9">
        <v>15000</v>
      </c>
    </row>
    <row r="21" spans="1:27" ht="12.75">
      <c r="A21" s="4" t="s">
        <v>22</v>
      </c>
      <c r="B21" s="2">
        <v>57000</v>
      </c>
      <c r="C21" s="2">
        <v>57000</v>
      </c>
      <c r="D21" s="2">
        <v>57000</v>
      </c>
      <c r="E21" s="2">
        <v>57000</v>
      </c>
      <c r="F21" s="2">
        <v>57000</v>
      </c>
      <c r="G21" s="2">
        <v>57000</v>
      </c>
      <c r="H21" s="2">
        <v>57000</v>
      </c>
      <c r="I21" s="2">
        <v>57000</v>
      </c>
      <c r="J21" s="2">
        <v>57000</v>
      </c>
      <c r="K21" s="2">
        <v>57000</v>
      </c>
      <c r="L21" s="2">
        <v>57000</v>
      </c>
      <c r="M21" s="2">
        <v>57000</v>
      </c>
      <c r="N21" s="2">
        <v>57000</v>
      </c>
      <c r="O21" s="2">
        <v>57000</v>
      </c>
      <c r="P21" s="2" t="s">
        <v>0</v>
      </c>
      <c r="Q21" s="2" t="s">
        <v>0</v>
      </c>
      <c r="R21" s="2" t="s">
        <v>0</v>
      </c>
      <c r="S21" s="2" t="s">
        <v>0</v>
      </c>
      <c r="T21" s="2" t="s">
        <v>0</v>
      </c>
      <c r="U21" s="2" t="s">
        <v>0</v>
      </c>
      <c r="X21" s="9" t="s">
        <v>186</v>
      </c>
      <c r="Y21" s="9" t="s">
        <v>181</v>
      </c>
      <c r="Z21" s="9">
        <v>6400</v>
      </c>
      <c r="AA21" s="9">
        <v>15000</v>
      </c>
    </row>
    <row r="22" spans="1:27" ht="12.75">
      <c r="A22" s="4" t="s">
        <v>23</v>
      </c>
      <c r="B22" s="2">
        <v>92000</v>
      </c>
      <c r="C22" s="2">
        <v>92000</v>
      </c>
      <c r="D22" s="2">
        <v>92000</v>
      </c>
      <c r="E22" s="2">
        <v>92000</v>
      </c>
      <c r="F22" s="2">
        <v>92000</v>
      </c>
      <c r="G22" s="2">
        <v>92000</v>
      </c>
      <c r="H22" s="2">
        <v>92000</v>
      </c>
      <c r="I22" s="2">
        <v>92000</v>
      </c>
      <c r="J22" s="2">
        <v>92000</v>
      </c>
      <c r="K22" s="2">
        <v>92000</v>
      </c>
      <c r="L22" s="2">
        <v>92000</v>
      </c>
      <c r="M22" s="2">
        <v>92000</v>
      </c>
      <c r="N22" s="2">
        <v>92000</v>
      </c>
      <c r="O22" s="2">
        <v>92000</v>
      </c>
      <c r="P22" s="2" t="s">
        <v>0</v>
      </c>
      <c r="Q22" s="2" t="s">
        <v>0</v>
      </c>
      <c r="R22" s="2" t="s">
        <v>0</v>
      </c>
      <c r="S22" s="2" t="s">
        <v>0</v>
      </c>
      <c r="T22" s="2" t="s">
        <v>0</v>
      </c>
      <c r="U22" s="2" t="s">
        <v>0</v>
      </c>
      <c r="X22" s="9" t="s">
        <v>174</v>
      </c>
      <c r="Y22" s="9" t="s">
        <v>253</v>
      </c>
      <c r="Z22" s="9">
        <v>1200</v>
      </c>
      <c r="AA22" s="9">
        <v>2000</v>
      </c>
    </row>
    <row r="23" spans="1:27" ht="12.75">
      <c r="A23" s="4" t="s">
        <v>24</v>
      </c>
      <c r="B23" s="2">
        <v>130000</v>
      </c>
      <c r="C23" s="2">
        <v>130000</v>
      </c>
      <c r="D23" s="2">
        <v>130000</v>
      </c>
      <c r="E23" s="2">
        <v>130000</v>
      </c>
      <c r="F23" s="2">
        <v>130000</v>
      </c>
      <c r="G23" s="2">
        <v>130000</v>
      </c>
      <c r="H23" s="2">
        <v>130000</v>
      </c>
      <c r="I23" s="2">
        <v>130000</v>
      </c>
      <c r="J23" s="2">
        <v>130000</v>
      </c>
      <c r="K23" s="2">
        <v>130000</v>
      </c>
      <c r="L23" s="2">
        <v>130000</v>
      </c>
      <c r="M23" s="2">
        <v>130000</v>
      </c>
      <c r="N23" s="2">
        <v>130000</v>
      </c>
      <c r="O23" s="2">
        <v>130000</v>
      </c>
      <c r="P23" s="2" t="s">
        <v>0</v>
      </c>
      <c r="Q23" s="2" t="s">
        <v>0</v>
      </c>
      <c r="R23" s="2" t="s">
        <v>0</v>
      </c>
      <c r="S23" s="2" t="s">
        <v>0</v>
      </c>
      <c r="T23" s="2" t="s">
        <v>0</v>
      </c>
      <c r="U23" s="2" t="s">
        <v>0</v>
      </c>
      <c r="X23" s="9" t="s">
        <v>184</v>
      </c>
      <c r="Y23" s="12" t="s">
        <v>180</v>
      </c>
      <c r="Z23" s="9">
        <v>6400</v>
      </c>
      <c r="AA23" s="9">
        <v>15000</v>
      </c>
    </row>
    <row r="24" spans="1:27" ht="12.75">
      <c r="A24" s="4" t="s">
        <v>25</v>
      </c>
      <c r="B24" s="2">
        <v>36000</v>
      </c>
      <c r="C24" s="2">
        <v>36000</v>
      </c>
      <c r="D24" s="2">
        <v>36000</v>
      </c>
      <c r="E24" s="2">
        <v>36000</v>
      </c>
      <c r="F24" s="2">
        <v>36000</v>
      </c>
      <c r="G24" s="2">
        <v>36000</v>
      </c>
      <c r="H24" s="2">
        <v>36000</v>
      </c>
      <c r="I24" s="2">
        <v>36000</v>
      </c>
      <c r="J24" s="2">
        <v>36000</v>
      </c>
      <c r="K24" s="2">
        <v>36000</v>
      </c>
      <c r="L24" s="2">
        <v>36000</v>
      </c>
      <c r="M24" s="2">
        <v>36000</v>
      </c>
      <c r="N24" s="2">
        <v>36000</v>
      </c>
      <c r="O24" s="2">
        <v>36000</v>
      </c>
      <c r="P24" s="2" t="s">
        <v>0</v>
      </c>
      <c r="Q24" s="2" t="s">
        <v>0</v>
      </c>
      <c r="R24" s="2" t="s">
        <v>0</v>
      </c>
      <c r="S24" s="2" t="s">
        <v>0</v>
      </c>
      <c r="T24" s="2" t="s">
        <v>0</v>
      </c>
      <c r="U24" s="2" t="s">
        <v>0</v>
      </c>
      <c r="X24" s="9" t="s">
        <v>175</v>
      </c>
      <c r="Y24" s="12" t="s">
        <v>253</v>
      </c>
      <c r="Z24" s="9">
        <v>1200</v>
      </c>
      <c r="AA24" s="9">
        <v>2000</v>
      </c>
    </row>
    <row r="25" spans="1:21" ht="12.75">
      <c r="A25" s="4" t="s">
        <v>26</v>
      </c>
      <c r="B25" s="2">
        <v>57000</v>
      </c>
      <c r="C25" s="2">
        <v>57000</v>
      </c>
      <c r="D25" s="2">
        <v>57000</v>
      </c>
      <c r="E25" s="2">
        <v>57000</v>
      </c>
      <c r="F25" s="2">
        <v>57000</v>
      </c>
      <c r="G25" s="2">
        <v>57000</v>
      </c>
      <c r="H25" s="2">
        <v>57000</v>
      </c>
      <c r="I25" s="2">
        <v>57000</v>
      </c>
      <c r="J25" s="2">
        <v>36000</v>
      </c>
      <c r="K25" s="2">
        <v>36000</v>
      </c>
      <c r="L25" s="2">
        <v>36000</v>
      </c>
      <c r="M25" s="2">
        <v>36000</v>
      </c>
      <c r="N25" s="2">
        <v>36000</v>
      </c>
      <c r="O25" s="2">
        <v>36000</v>
      </c>
      <c r="P25" s="2" t="s">
        <v>0</v>
      </c>
      <c r="Q25" s="2" t="s">
        <v>0</v>
      </c>
      <c r="R25" s="2" t="s">
        <v>0</v>
      </c>
      <c r="S25" s="2" t="s">
        <v>0</v>
      </c>
      <c r="T25" s="2" t="s">
        <v>0</v>
      </c>
      <c r="U25" s="2" t="s">
        <v>0</v>
      </c>
    </row>
    <row r="26" spans="1:21" ht="12.75">
      <c r="A26" s="4" t="s">
        <v>27</v>
      </c>
      <c r="B26" s="2">
        <v>100000</v>
      </c>
      <c r="C26" s="2">
        <v>100000</v>
      </c>
      <c r="D26" s="2">
        <v>100000</v>
      </c>
      <c r="E26" s="2">
        <v>100000</v>
      </c>
      <c r="F26" s="2">
        <v>100000</v>
      </c>
      <c r="G26" s="2">
        <v>100000</v>
      </c>
      <c r="H26" s="2">
        <v>100000</v>
      </c>
      <c r="I26" s="2">
        <v>100000</v>
      </c>
      <c r="J26" s="2">
        <v>100000</v>
      </c>
      <c r="K26" s="2">
        <v>100000</v>
      </c>
      <c r="L26" s="2">
        <v>100000</v>
      </c>
      <c r="M26" s="2">
        <v>100000</v>
      </c>
      <c r="N26" s="2">
        <v>100000</v>
      </c>
      <c r="O26" s="2">
        <v>100000</v>
      </c>
      <c r="P26" s="2" t="s">
        <v>0</v>
      </c>
      <c r="Q26" s="2" t="s">
        <v>0</v>
      </c>
      <c r="R26" s="2" t="s">
        <v>0</v>
      </c>
      <c r="S26" s="2" t="s">
        <v>0</v>
      </c>
      <c r="T26" s="2" t="s">
        <v>0</v>
      </c>
      <c r="U26" s="2" t="s">
        <v>0</v>
      </c>
    </row>
    <row r="27" spans="1:21" ht="12.75">
      <c r="A27" s="4" t="s">
        <v>28</v>
      </c>
      <c r="B27" s="2">
        <v>92000</v>
      </c>
      <c r="C27" s="2">
        <v>92000</v>
      </c>
      <c r="D27" s="2">
        <v>92000</v>
      </c>
      <c r="E27" s="2">
        <v>92000</v>
      </c>
      <c r="F27" s="2">
        <v>92000</v>
      </c>
      <c r="G27" s="2">
        <v>92000</v>
      </c>
      <c r="H27" s="2">
        <v>92000</v>
      </c>
      <c r="I27" s="2">
        <v>92000</v>
      </c>
      <c r="J27" s="2">
        <v>92000</v>
      </c>
      <c r="K27" s="2">
        <v>92000</v>
      </c>
      <c r="L27" s="2">
        <v>81000</v>
      </c>
      <c r="M27" s="2">
        <v>81000</v>
      </c>
      <c r="N27" s="2">
        <v>81000</v>
      </c>
      <c r="O27" s="2">
        <v>81000</v>
      </c>
      <c r="P27" s="2" t="s">
        <v>0</v>
      </c>
      <c r="Q27" s="2" t="s">
        <v>0</v>
      </c>
      <c r="R27" s="2" t="s">
        <v>0</v>
      </c>
      <c r="S27" s="2" t="s">
        <v>0</v>
      </c>
      <c r="T27" s="2" t="s">
        <v>0</v>
      </c>
      <c r="U27" s="2" t="s">
        <v>0</v>
      </c>
    </row>
    <row r="28" spans="1:21" ht="12.75">
      <c r="A28" s="4" t="s">
        <v>29</v>
      </c>
      <c r="B28" s="2">
        <v>92000</v>
      </c>
      <c r="C28" s="2">
        <v>92000</v>
      </c>
      <c r="D28" s="2">
        <v>92000</v>
      </c>
      <c r="E28" s="2">
        <v>92000</v>
      </c>
      <c r="F28" s="2">
        <v>92000</v>
      </c>
      <c r="G28" s="2">
        <v>92000</v>
      </c>
      <c r="H28" s="2">
        <v>92000</v>
      </c>
      <c r="I28" s="2">
        <v>92000</v>
      </c>
      <c r="J28" s="2">
        <v>92000</v>
      </c>
      <c r="K28" s="2">
        <v>92000</v>
      </c>
      <c r="L28" s="2" t="s">
        <v>0</v>
      </c>
      <c r="M28" s="2" t="s">
        <v>0</v>
      </c>
      <c r="N28" s="2" t="s">
        <v>0</v>
      </c>
      <c r="O28" s="2" t="s">
        <v>0</v>
      </c>
      <c r="P28" s="2" t="s">
        <v>0</v>
      </c>
      <c r="Q28" s="2" t="s">
        <v>0</v>
      </c>
      <c r="R28" s="2" t="s">
        <v>0</v>
      </c>
      <c r="S28" s="2" t="s">
        <v>0</v>
      </c>
      <c r="T28" s="2" t="s">
        <v>0</v>
      </c>
      <c r="U28" s="2" t="s">
        <v>0</v>
      </c>
    </row>
    <row r="29" spans="1:21" ht="12.75">
      <c r="A29" s="4" t="s">
        <v>30</v>
      </c>
      <c r="B29" s="2">
        <v>115000</v>
      </c>
      <c r="C29" s="2">
        <v>115000</v>
      </c>
      <c r="D29" s="2">
        <v>115000</v>
      </c>
      <c r="E29" s="2">
        <v>115000</v>
      </c>
      <c r="F29" s="2">
        <v>115000</v>
      </c>
      <c r="G29" s="2">
        <v>115000</v>
      </c>
      <c r="H29" s="2">
        <v>115000</v>
      </c>
      <c r="I29" s="2">
        <v>115000</v>
      </c>
      <c r="J29" s="2">
        <v>115000</v>
      </c>
      <c r="K29" s="2">
        <v>115000</v>
      </c>
      <c r="L29" s="2">
        <v>115000</v>
      </c>
      <c r="M29" s="2">
        <v>115000</v>
      </c>
      <c r="N29" s="2">
        <v>115000</v>
      </c>
      <c r="O29" s="2">
        <v>115000</v>
      </c>
      <c r="P29" s="2" t="s">
        <v>0</v>
      </c>
      <c r="Q29" s="2" t="s">
        <v>0</v>
      </c>
      <c r="R29" s="2" t="s">
        <v>0</v>
      </c>
      <c r="S29" s="2" t="s">
        <v>0</v>
      </c>
      <c r="T29" s="2" t="s">
        <v>0</v>
      </c>
      <c r="U29" s="2" t="s">
        <v>0</v>
      </c>
    </row>
    <row r="30" spans="1:21" ht="12.75">
      <c r="A30" s="4" t="s">
        <v>31</v>
      </c>
      <c r="B30" s="2">
        <v>130000</v>
      </c>
      <c r="C30" s="2">
        <v>130000</v>
      </c>
      <c r="D30" s="2">
        <v>130000</v>
      </c>
      <c r="E30" s="2">
        <v>130000</v>
      </c>
      <c r="F30" s="2">
        <v>130000</v>
      </c>
      <c r="G30" s="2">
        <v>130000</v>
      </c>
      <c r="H30" s="2">
        <v>130000</v>
      </c>
      <c r="I30" s="2">
        <v>130000</v>
      </c>
      <c r="J30" s="2">
        <v>130000</v>
      </c>
      <c r="K30" s="2">
        <v>130000</v>
      </c>
      <c r="L30" s="2">
        <v>130000</v>
      </c>
      <c r="M30" s="2">
        <v>130000</v>
      </c>
      <c r="N30" s="2">
        <v>130000</v>
      </c>
      <c r="O30" s="2">
        <v>130000</v>
      </c>
      <c r="P30" s="2" t="s">
        <v>0</v>
      </c>
      <c r="Q30" s="2" t="s">
        <v>0</v>
      </c>
      <c r="R30" s="2" t="s">
        <v>0</v>
      </c>
      <c r="S30" s="2" t="s">
        <v>0</v>
      </c>
      <c r="T30" s="2" t="s">
        <v>0</v>
      </c>
      <c r="U30" s="2" t="s">
        <v>0</v>
      </c>
    </row>
    <row r="31" spans="1:21" ht="12.75">
      <c r="A31" s="4" t="s">
        <v>32</v>
      </c>
      <c r="B31" s="2">
        <v>130000</v>
      </c>
      <c r="C31" s="2">
        <v>130000</v>
      </c>
      <c r="D31" s="2">
        <v>130000</v>
      </c>
      <c r="E31" s="2">
        <v>130000</v>
      </c>
      <c r="F31" s="2">
        <v>130000</v>
      </c>
      <c r="G31" s="2">
        <v>130000</v>
      </c>
      <c r="H31" s="2">
        <v>130000</v>
      </c>
      <c r="I31" s="2">
        <v>130000</v>
      </c>
      <c r="J31" s="2">
        <v>130000</v>
      </c>
      <c r="K31" s="2">
        <v>130000</v>
      </c>
      <c r="L31" s="2">
        <v>130000</v>
      </c>
      <c r="M31" s="2">
        <v>130000</v>
      </c>
      <c r="N31" s="2">
        <v>130000</v>
      </c>
      <c r="O31" s="2">
        <v>130000</v>
      </c>
      <c r="P31" s="2" t="s">
        <v>0</v>
      </c>
      <c r="Q31" s="2" t="s">
        <v>0</v>
      </c>
      <c r="R31" s="2" t="s">
        <v>0</v>
      </c>
      <c r="S31" s="2" t="s">
        <v>0</v>
      </c>
      <c r="T31" s="2" t="s">
        <v>0</v>
      </c>
      <c r="U31" s="2" t="s">
        <v>0</v>
      </c>
    </row>
    <row r="32" ht="12.75"/>
  </sheetData>
  <sheetProtection password="C612" sheet="1" objects="1" scenarios="1"/>
  <printOptions/>
  <pageMargins left="0.75" right="0.75" top="1" bottom="1" header="0.5" footer="0.5"/>
  <pageSetup horizontalDpi="96" verticalDpi="96" orientation="portrait" r:id="rId1"/>
</worksheet>
</file>

<file path=xl/worksheets/sheet2.xml><?xml version="1.0" encoding="utf-8"?>
<worksheet xmlns="http://schemas.openxmlformats.org/spreadsheetml/2006/main" xmlns:r="http://schemas.openxmlformats.org/officeDocument/2006/relationships">
  <sheetPr codeName="Sheet2"/>
  <dimension ref="A1:Y101"/>
  <sheetViews>
    <sheetView zoomScalePageLayoutView="0" workbookViewId="0" topLeftCell="A1">
      <selection activeCell="D8" sqref="D8:H9"/>
    </sheetView>
  </sheetViews>
  <sheetFormatPr defaultColWidth="0" defaultRowHeight="12.75" zeroHeight="1"/>
  <cols>
    <col min="1" max="8" width="9.00390625" style="9" customWidth="1"/>
    <col min="9" max="9" width="12.8515625" style="9" hidden="1" customWidth="1"/>
    <col min="10" max="10" width="11.140625" style="9" hidden="1" customWidth="1"/>
    <col min="11" max="11" width="10.421875" style="9" hidden="1" customWidth="1"/>
    <col min="12" max="12" width="10.7109375" style="9" hidden="1" customWidth="1"/>
    <col min="13" max="13" width="9.140625" style="9" hidden="1" customWidth="1"/>
    <col min="14" max="15" width="10.7109375" style="9" hidden="1" customWidth="1"/>
    <col min="16" max="16" width="11.421875" style="9" hidden="1" customWidth="1"/>
    <col min="17" max="17" width="78.57421875" style="9" hidden="1" customWidth="1"/>
    <col min="18" max="21" width="10.7109375" style="9" hidden="1" customWidth="1"/>
    <col min="22" max="16384" width="10.7109375" style="9" hidden="1" customWidth="1"/>
  </cols>
  <sheetData>
    <row r="1" spans="1:8" ht="12.75">
      <c r="A1" s="7"/>
      <c r="B1" s="7"/>
      <c r="C1" s="7"/>
      <c r="D1" s="7"/>
      <c r="E1" s="7"/>
      <c r="F1" s="7"/>
      <c r="G1" s="8"/>
      <c r="H1" s="7"/>
    </row>
    <row r="2" spans="1:8" ht="12.75">
      <c r="A2" s="7"/>
      <c r="B2" s="7"/>
      <c r="C2" s="7"/>
      <c r="D2" s="7"/>
      <c r="F2" s="106"/>
      <c r="G2" s="106"/>
      <c r="H2" s="7"/>
    </row>
    <row r="3" spans="1:8" ht="12.75">
      <c r="A3" s="7"/>
      <c r="B3" s="7"/>
      <c r="C3" s="7"/>
      <c r="D3" s="7"/>
      <c r="E3" s="106"/>
      <c r="F3" s="106"/>
      <c r="G3" s="106"/>
      <c r="H3" s="7"/>
    </row>
    <row r="4" spans="1:10" ht="12.75">
      <c r="A4" s="7"/>
      <c r="B4" s="7"/>
      <c r="C4" s="7"/>
      <c r="D4" s="7"/>
      <c r="E4" s="106"/>
      <c r="F4" s="106"/>
      <c r="G4" s="106"/>
      <c r="H4" s="7"/>
      <c r="J4" s="9" t="s">
        <v>292</v>
      </c>
    </row>
    <row r="5" spans="1:10" ht="12.75">
      <c r="A5" s="7"/>
      <c r="B5" s="137" t="s">
        <v>190</v>
      </c>
      <c r="C5" s="137"/>
      <c r="D5" s="137"/>
      <c r="E5" s="137"/>
      <c r="F5" s="137"/>
      <c r="G5" s="137"/>
      <c r="H5" s="7"/>
      <c r="J5" s="9" t="s">
        <v>293</v>
      </c>
    </row>
    <row r="6" spans="2:8" ht="12.75">
      <c r="B6" s="137"/>
      <c r="C6" s="137"/>
      <c r="D6" s="137"/>
      <c r="E6" s="137"/>
      <c r="F6" s="137"/>
      <c r="G6" s="137"/>
      <c r="H6" s="7"/>
    </row>
    <row r="7" spans="1:8" ht="12.75">
      <c r="A7" s="7"/>
      <c r="B7" s="7"/>
      <c r="C7" s="7"/>
      <c r="D7" s="7"/>
      <c r="E7" s="7"/>
      <c r="F7" s="7"/>
      <c r="G7" s="8"/>
      <c r="H7" s="7"/>
    </row>
    <row r="8" spans="1:16" ht="12.75" customHeight="1">
      <c r="A8" s="7"/>
      <c r="B8" s="41" t="s">
        <v>38</v>
      </c>
      <c r="C8" s="7"/>
      <c r="D8" s="7"/>
      <c r="E8" s="11"/>
      <c r="F8" s="11"/>
      <c r="G8" s="11"/>
      <c r="H8" s="7"/>
      <c r="O8" s="99"/>
      <c r="P8" s="99"/>
    </row>
    <row r="9" spans="1:16" ht="12.75" customHeight="1">
      <c r="A9" s="7"/>
      <c r="B9" s="7"/>
      <c r="D9" s="128"/>
      <c r="E9" s="129"/>
      <c r="F9" s="129"/>
      <c r="G9" s="130"/>
      <c r="H9" s="7"/>
      <c r="O9" s="99"/>
      <c r="P9" s="99"/>
    </row>
    <row r="10" spans="1:16" ht="12.75">
      <c r="A10" s="7"/>
      <c r="B10" s="7"/>
      <c r="C10" s="13" t="s">
        <v>11</v>
      </c>
      <c r="D10" s="131"/>
      <c r="E10" s="132"/>
      <c r="F10" s="132"/>
      <c r="G10" s="133"/>
      <c r="H10" s="7"/>
      <c r="O10" s="99"/>
      <c r="P10" s="99"/>
    </row>
    <row r="11" spans="1:8" ht="12.75">
      <c r="A11" s="7"/>
      <c r="B11" s="7"/>
      <c r="C11" s="13"/>
      <c r="D11" s="134"/>
      <c r="E11" s="135"/>
      <c r="F11" s="135"/>
      <c r="G11" s="136"/>
      <c r="H11" s="7"/>
    </row>
    <row r="12" spans="1:12" ht="12.75">
      <c r="A12" s="7"/>
      <c r="B12" s="7"/>
      <c r="C12" s="13" t="s">
        <v>141</v>
      </c>
      <c r="D12" s="14">
        <f>IF(D9="","",MAX(K14,K16))</f>
      </c>
      <c r="E12" s="8" t="s">
        <v>5</v>
      </c>
      <c r="F12" s="11"/>
      <c r="G12" s="7"/>
      <c r="H12" s="7"/>
      <c r="J12" s="9" t="s">
        <v>290</v>
      </c>
      <c r="K12" s="15" t="e">
        <f>VLOOKUP(D9,A62:R101,COLUMN(R61))</f>
        <v>#N/A</v>
      </c>
      <c r="L12" s="9" t="s">
        <v>291</v>
      </c>
    </row>
    <row r="13" spans="1:12" ht="12.75" customHeight="1">
      <c r="A13" s="7"/>
      <c r="B13" s="7"/>
      <c r="C13" s="13" t="s">
        <v>142</v>
      </c>
      <c r="D13" s="14">
        <f>IF(D9="","",MIN(K13,K15))</f>
      </c>
      <c r="E13" s="8" t="s">
        <v>5</v>
      </c>
      <c r="F13" s="7"/>
      <c r="G13" s="7"/>
      <c r="H13" s="7"/>
      <c r="J13" s="15" t="s">
        <v>4</v>
      </c>
      <c r="K13" s="16" t="e">
        <f>VLOOKUP(D9,A62:M101,COLUMN(J61))</f>
        <v>#N/A</v>
      </c>
      <c r="L13" s="17" t="s">
        <v>5</v>
      </c>
    </row>
    <row r="14" spans="1:12" ht="12.75">
      <c r="A14" s="7"/>
      <c r="B14" s="7"/>
      <c r="C14" s="13" t="s">
        <v>7</v>
      </c>
      <c r="D14" s="18">
        <f>IF(D9="","",VLOOKUP(D9,A62:P101,COLUMN(D61)))</f>
      </c>
      <c r="E14" s="8"/>
      <c r="F14" s="7"/>
      <c r="G14" s="7"/>
      <c r="H14" s="7"/>
      <c r="I14" s="17"/>
      <c r="J14" s="15" t="s">
        <v>6</v>
      </c>
      <c r="K14" s="16" t="e">
        <f>VLOOKUP(D9,A62:M101,COLUMN(I61))</f>
        <v>#N/A</v>
      </c>
      <c r="L14" s="17" t="s">
        <v>5</v>
      </c>
    </row>
    <row r="15" spans="1:25" ht="12.75">
      <c r="A15" s="7"/>
      <c r="B15" s="7"/>
      <c r="C15" s="13" t="s">
        <v>8</v>
      </c>
      <c r="D15" s="19">
        <f>IF(D9="","",VLOOKUP(D9,A62:P101,COLUMN(E61)))</f>
      </c>
      <c r="E15" s="8" t="s">
        <v>5</v>
      </c>
      <c r="F15" s="11"/>
      <c r="G15" s="7"/>
      <c r="H15" s="7"/>
      <c r="I15" s="17"/>
      <c r="J15" s="15" t="s">
        <v>40</v>
      </c>
      <c r="K15" s="16" t="e">
        <f>VLOOKUP(D9,A62:M101,COLUMN(L61))</f>
        <v>#N/A</v>
      </c>
      <c r="L15" s="17" t="s">
        <v>5</v>
      </c>
      <c r="X15" s="52"/>
      <c r="Y15" s="52"/>
    </row>
    <row r="16" spans="1:25" ht="12.75">
      <c r="A16" s="7"/>
      <c r="B16" s="7"/>
      <c r="C16" s="13" t="s">
        <v>114</v>
      </c>
      <c r="D16" s="19">
        <f>IF(D9="","",VLOOKUP(D9,A62:P101,COLUMN(F61)))</f>
      </c>
      <c r="E16" s="8" t="s">
        <v>5</v>
      </c>
      <c r="F16" s="11"/>
      <c r="G16" s="7"/>
      <c r="H16" s="7"/>
      <c r="I16" s="17"/>
      <c r="J16" s="15" t="s">
        <v>39</v>
      </c>
      <c r="K16" s="16" t="e">
        <f>VLOOKUP(D9,A62:M101,COLUMN(K61))</f>
        <v>#N/A</v>
      </c>
      <c r="L16" s="17" t="s">
        <v>5</v>
      </c>
      <c r="X16" s="52"/>
      <c r="Y16" s="52"/>
    </row>
    <row r="17" spans="1:25" ht="12.75">
      <c r="A17" s="7"/>
      <c r="B17" s="7"/>
      <c r="C17" s="13" t="s">
        <v>9</v>
      </c>
      <c r="D17" s="20">
        <f>IF(D9="","",IF(IF(D16&lt;D13,PI()*(D13^2-D12^2)/4-D14*PI()*((D15+1/8)/2)^2,PI()*(D13^2-D12^2)/4)&gt;0,IF(D16&lt;D13,PI()*(D13^2-D12^2)/4-D14*PI()*((D15+1/8)/2)^2,PI()*(D13^2-D12^2)/4),""))</f>
      </c>
      <c r="E17" s="8" t="s">
        <v>10</v>
      </c>
      <c r="F17" s="11"/>
      <c r="G17" s="7"/>
      <c r="H17" s="7"/>
      <c r="I17" s="50"/>
      <c r="X17" s="52"/>
      <c r="Y17" s="52"/>
    </row>
    <row r="18" spans="1:9" ht="12.75">
      <c r="A18" s="7"/>
      <c r="B18" s="7"/>
      <c r="C18" s="7"/>
      <c r="D18" s="7"/>
      <c r="E18" s="7"/>
      <c r="F18" s="7"/>
      <c r="G18" s="7"/>
      <c r="H18" s="7"/>
      <c r="I18" s="17"/>
    </row>
    <row r="19" spans="1:8" ht="12.75" customHeight="1">
      <c r="A19" s="7"/>
      <c r="B19" s="42" t="s">
        <v>155</v>
      </c>
      <c r="C19" s="7"/>
      <c r="D19" s="21"/>
      <c r="E19" s="11"/>
      <c r="F19" s="11"/>
      <c r="G19" s="7"/>
      <c r="H19" s="7"/>
    </row>
    <row r="20" spans="1:14" ht="12.75" customHeight="1">
      <c r="A20" s="7"/>
      <c r="B20" s="122" t="s">
        <v>12</v>
      </c>
      <c r="C20" s="146"/>
      <c r="D20" s="128"/>
      <c r="E20" s="129"/>
      <c r="F20" s="129"/>
      <c r="G20" s="130"/>
      <c r="H20" s="7"/>
      <c r="J20" s="17"/>
      <c r="K20" s="15" t="s">
        <v>145</v>
      </c>
      <c r="L20" s="17" t="e">
        <f>VLOOKUP(D20,Yield!X2:AA24,3)</f>
        <v>#N/A</v>
      </c>
      <c r="M20" s="17" t="s">
        <v>3</v>
      </c>
      <c r="N20" s="96"/>
    </row>
    <row r="21" spans="1:13" ht="12.75" customHeight="1">
      <c r="A21" s="7"/>
      <c r="B21" s="147"/>
      <c r="C21" s="146"/>
      <c r="D21" s="134"/>
      <c r="E21" s="135"/>
      <c r="F21" s="135"/>
      <c r="G21" s="136"/>
      <c r="H21" s="7"/>
      <c r="J21" s="22"/>
      <c r="K21" s="15" t="s">
        <v>144</v>
      </c>
      <c r="L21" s="111" t="e">
        <f>((($D$12/2)^2*(3.14)*($K$12))+(D17*($D$24)))/((12*($D$14))/(($D$29)*($D$15)))</f>
        <v>#VALUE!</v>
      </c>
      <c r="M21" s="17" t="s">
        <v>18</v>
      </c>
    </row>
    <row r="22" spans="1:13" ht="12.75">
      <c r="A22" s="7"/>
      <c r="B22" s="122" t="s">
        <v>13</v>
      </c>
      <c r="C22" s="123"/>
      <c r="D22" s="139">
        <f>IF(D20="","",VLOOKUP(D20,Yield!X2:AA24,2))</f>
      </c>
      <c r="E22" s="140"/>
      <c r="F22" s="140"/>
      <c r="G22" s="141"/>
      <c r="H22" s="7"/>
      <c r="K22" s="15" t="s">
        <v>149</v>
      </c>
      <c r="L22" s="24" t="e">
        <f>(12*($L$21)/(($D$29)*($D$15)))/$D$30</f>
        <v>#VALUE!</v>
      </c>
      <c r="M22" s="9" t="s">
        <v>3</v>
      </c>
    </row>
    <row r="23" spans="1:12" ht="12.75">
      <c r="A23" s="7"/>
      <c r="B23" s="124"/>
      <c r="C23" s="123"/>
      <c r="D23" s="142"/>
      <c r="E23" s="143"/>
      <c r="F23" s="143"/>
      <c r="G23" s="144"/>
      <c r="H23" s="7"/>
      <c r="K23" s="15" t="s">
        <v>148</v>
      </c>
      <c r="L23" s="25" t="e">
        <f>L22/$D$28</f>
        <v>#VALUE!</v>
      </c>
    </row>
    <row r="24" spans="1:8" ht="12.75">
      <c r="A24" s="7"/>
      <c r="B24" s="7"/>
      <c r="C24" s="13" t="s">
        <v>115</v>
      </c>
      <c r="D24" s="39">
        <f>IF(D20="","",VLOOKUP(D20,Yield!X2:AA24,3))</f>
      </c>
      <c r="E24" s="8" t="s">
        <v>3</v>
      </c>
      <c r="F24" s="8"/>
      <c r="G24" s="7"/>
      <c r="H24" s="7"/>
    </row>
    <row r="25" spans="1:13" ht="12.75" customHeight="1">
      <c r="A25" s="7"/>
      <c r="B25" s="7"/>
      <c r="C25" s="13" t="s">
        <v>116</v>
      </c>
      <c r="D25" s="38">
        <f>IF(D20="","",VLOOKUP(D20,Yield!X2:AA24,4))</f>
      </c>
      <c r="E25" s="8" t="s">
        <v>3</v>
      </c>
      <c r="F25" s="8"/>
      <c r="G25" s="7"/>
      <c r="H25" s="7"/>
      <c r="K25" s="15" t="s">
        <v>154</v>
      </c>
      <c r="L25" s="24" t="e">
        <f>((12*($L$26)*($D$14))/(($D$29)*($D$15))-(3.14*(D12/2)^2*(K12)))/D17</f>
        <v>#VALUE!</v>
      </c>
      <c r="M25" s="9" t="s">
        <v>3</v>
      </c>
    </row>
    <row r="26" spans="1:13" ht="12.75">
      <c r="A26" s="7"/>
      <c r="B26" s="125" t="s">
        <v>117</v>
      </c>
      <c r="C26" s="126"/>
      <c r="D26" s="128"/>
      <c r="E26" s="129"/>
      <c r="F26" s="129"/>
      <c r="G26" s="130"/>
      <c r="H26" s="7"/>
      <c r="K26" s="15" t="s">
        <v>153</v>
      </c>
      <c r="L26" s="101" t="e">
        <f>$D$29*(L27*$D$30)*$D$15/12</f>
        <v>#VALUE!</v>
      </c>
      <c r="M26" s="17" t="s">
        <v>18</v>
      </c>
    </row>
    <row r="27" spans="1:13" ht="12.75">
      <c r="A27" s="7"/>
      <c r="B27" s="127"/>
      <c r="C27" s="126"/>
      <c r="D27" s="134"/>
      <c r="E27" s="135"/>
      <c r="F27" s="135"/>
      <c r="G27" s="136"/>
      <c r="H27" s="7"/>
      <c r="K27" s="15" t="s">
        <v>152</v>
      </c>
      <c r="L27" s="27" t="e">
        <f>L28*$D$28</f>
        <v>#VALUE!</v>
      </c>
      <c r="M27" s="17" t="s">
        <v>3</v>
      </c>
    </row>
    <row r="28" spans="1:13" ht="12.75">
      <c r="A28" s="7"/>
      <c r="B28" s="7"/>
      <c r="C28" s="13" t="s">
        <v>16</v>
      </c>
      <c r="D28" s="40">
        <f>IF(D26="","",VLOOKUP(D26,Yield!A3:U31,MATCH(D15,Bolt_Size)+1))</f>
      </c>
      <c r="E28" s="8" t="s">
        <v>3</v>
      </c>
      <c r="F28" s="7"/>
      <c r="G28" s="7"/>
      <c r="H28" s="7"/>
      <c r="K28" s="15" t="s">
        <v>151</v>
      </c>
      <c r="L28" s="25">
        <v>0.4</v>
      </c>
      <c r="M28" s="26"/>
    </row>
    <row r="29" spans="1:8" ht="12.75">
      <c r="A29" s="7"/>
      <c r="B29" s="7"/>
      <c r="C29" s="13" t="s">
        <v>17</v>
      </c>
      <c r="D29" s="43"/>
      <c r="E29" s="8"/>
      <c r="F29" s="7"/>
      <c r="G29" s="7"/>
      <c r="H29" s="7"/>
    </row>
    <row r="30" spans="1:13" ht="12.75">
      <c r="A30" s="7"/>
      <c r="B30" s="7"/>
      <c r="C30" s="13" t="s">
        <v>274</v>
      </c>
      <c r="D30" s="28">
        <f>IF(D15="","",HLOOKUP(D15,Yield!B1:U2,2))</f>
      </c>
      <c r="E30" s="8" t="s">
        <v>10</v>
      </c>
      <c r="F30" s="7"/>
      <c r="G30" s="7"/>
      <c r="H30" s="7"/>
      <c r="K30" s="15" t="s">
        <v>146</v>
      </c>
      <c r="L30" s="17" t="e">
        <f>VLOOKUP(D20,Yield!X2:AA24,4)</f>
        <v>#N/A</v>
      </c>
      <c r="M30" s="17" t="s">
        <v>3</v>
      </c>
    </row>
    <row r="31" spans="1:13" ht="13.5" thickBot="1">
      <c r="A31" s="7"/>
      <c r="B31" s="7"/>
      <c r="C31" s="7"/>
      <c r="D31" s="7"/>
      <c r="E31" s="7"/>
      <c r="F31" s="7"/>
      <c r="G31" s="7"/>
      <c r="H31" s="7"/>
      <c r="K31" s="15" t="s">
        <v>143</v>
      </c>
      <c r="L31" s="101" t="e">
        <f>((($D$12/2)^2*(3.14)*($K$12))+((D17)*($D$25)))/((12*($D$14))/(($D$29)*($D$15)))</f>
        <v>#VALUE!</v>
      </c>
      <c r="M31" s="17" t="s">
        <v>18</v>
      </c>
    </row>
    <row r="32" spans="1:17" ht="14.25" thickBot="1" thickTop="1">
      <c r="A32" s="7"/>
      <c r="B32" s="7"/>
      <c r="C32" s="13" t="s">
        <v>156</v>
      </c>
      <c r="D32" s="51">
        <f>IF(ISERROR(L31),"",IF(MAX(L21,L26)&gt;MIN(L31,L36),MIN(L31,L36),MAX(L21,L26)))</f>
      </c>
      <c r="E32" s="7" t="s">
        <v>160</v>
      </c>
      <c r="F32" s="100"/>
      <c r="G32" s="8"/>
      <c r="H32" s="7"/>
      <c r="K32" s="15" t="s">
        <v>150</v>
      </c>
      <c r="L32" s="24" t="e">
        <f>(12*($L$31)/(($D$29)*($D$15)))/$D$30</f>
        <v>#VALUE!</v>
      </c>
      <c r="M32" s="9" t="s">
        <v>3</v>
      </c>
      <c r="N32" s="52"/>
      <c r="O32" s="52"/>
      <c r="P32" s="52"/>
      <c r="Q32" s="52"/>
    </row>
    <row r="33" spans="1:13" ht="13.5" thickTop="1">
      <c r="A33" s="7"/>
      <c r="B33" s="7"/>
      <c r="C33" s="13" t="s">
        <v>37</v>
      </c>
      <c r="D33" s="45">
        <f>IF(ISERROR(L31),"",((($D$34*$D$30*$D$14)-(3.14*(D12/2)^2*(K12)))/D17))</f>
      </c>
      <c r="E33" s="7" t="s">
        <v>3</v>
      </c>
      <c r="F33" s="7"/>
      <c r="G33" s="7"/>
      <c r="H33" s="7"/>
      <c r="K33" s="15" t="s">
        <v>147</v>
      </c>
      <c r="L33" s="25" t="e">
        <f>L32/$D$28</f>
        <v>#VALUE!</v>
      </c>
      <c r="M33" s="26"/>
    </row>
    <row r="34" spans="1:8" ht="12.75">
      <c r="A34" s="7"/>
      <c r="B34" s="7"/>
      <c r="C34" s="13" t="s">
        <v>157</v>
      </c>
      <c r="D34" s="29">
        <f>IF(ISERROR(L31),"",D32/($D$29*$D$15/12*$D$30))</f>
      </c>
      <c r="E34" s="7" t="s">
        <v>3</v>
      </c>
      <c r="F34" s="8"/>
      <c r="G34" s="8"/>
      <c r="H34" s="7"/>
    </row>
    <row r="35" spans="1:13" ht="12.75" customHeight="1">
      <c r="A35" s="7"/>
      <c r="B35" s="7"/>
      <c r="C35" s="13" t="s">
        <v>158</v>
      </c>
      <c r="D35" s="30">
        <f>IF(ISERROR(L31),"",D34/$D$28)</f>
      </c>
      <c r="E35" s="7"/>
      <c r="F35" s="98"/>
      <c r="G35" s="7"/>
      <c r="H35" s="7"/>
      <c r="K35" s="15" t="s">
        <v>281</v>
      </c>
      <c r="L35" s="24" t="e">
        <f>((12*($L$36)*($D$14))/(($D$29)*($D$15))-(3.14*(D12/2)^2*(K12)))/D17</f>
        <v>#VALUE!</v>
      </c>
      <c r="M35" s="9" t="s">
        <v>3</v>
      </c>
    </row>
    <row r="36" spans="1:13" ht="12.75" customHeight="1">
      <c r="A36" s="7"/>
      <c r="B36" s="137">
        <f>IF(ISERROR(D35),"",IF(D33&lt;D24,J43,IF(D35&lt;L28,J45,"")))</f>
      </c>
      <c r="C36" s="137"/>
      <c r="D36" s="137"/>
      <c r="E36" s="137"/>
      <c r="F36" s="137"/>
      <c r="G36" s="31"/>
      <c r="H36" s="7"/>
      <c r="K36" s="15" t="s">
        <v>282</v>
      </c>
      <c r="L36" s="101" t="e">
        <f>$D$29*(L37*$D$30)*$D$15/12</f>
        <v>#VALUE!</v>
      </c>
      <c r="M36" s="17" t="s">
        <v>18</v>
      </c>
    </row>
    <row r="37" spans="1:13" ht="13.5" thickBot="1">
      <c r="A37" s="7"/>
      <c r="B37" s="137"/>
      <c r="C37" s="137"/>
      <c r="D37" s="137"/>
      <c r="E37" s="137"/>
      <c r="F37" s="137"/>
      <c r="G37" s="31"/>
      <c r="H37" s="7"/>
      <c r="K37" s="15" t="s">
        <v>283</v>
      </c>
      <c r="L37" s="27" t="e">
        <f>L38*$D$28</f>
        <v>#VALUE!</v>
      </c>
      <c r="M37" s="17" t="s">
        <v>3</v>
      </c>
    </row>
    <row r="38" spans="1:12" ht="14.25" thickBot="1" thickTop="1">
      <c r="A38" s="7"/>
      <c r="B38" s="7"/>
      <c r="C38" s="13" t="s">
        <v>159</v>
      </c>
      <c r="D38" s="51">
        <f>IF(ISERROR(L31),"",IF(MAX(L21,L26)&gt;MIN(L31,L36),MAX(L21,L26),MIN(L31,L36)))</f>
      </c>
      <c r="E38" s="7" t="s">
        <v>160</v>
      </c>
      <c r="F38" s="7"/>
      <c r="G38" s="7"/>
      <c r="H38" s="7"/>
      <c r="K38" s="15" t="s">
        <v>284</v>
      </c>
      <c r="L38" s="25">
        <v>0.9</v>
      </c>
    </row>
    <row r="39" spans="1:8" ht="13.5" thickTop="1">
      <c r="A39" s="7"/>
      <c r="B39" s="7"/>
      <c r="C39" s="13" t="s">
        <v>37</v>
      </c>
      <c r="D39" s="45">
        <f>IF(ISERROR(L31),"",((($D$40*$D$30*$D$14)-(3.14*(D12/2)^2*(K12)))/D17))</f>
      </c>
      <c r="E39" s="7" t="s">
        <v>3</v>
      </c>
      <c r="F39" s="7"/>
      <c r="G39" s="7"/>
      <c r="H39" s="7"/>
    </row>
    <row r="40" spans="1:8" ht="12.75">
      <c r="A40" s="7"/>
      <c r="B40" s="7"/>
      <c r="C40" s="13" t="s">
        <v>157</v>
      </c>
      <c r="D40" s="29">
        <f>IF(ISERROR(L31),"",D38/($D$29*$D$15/12*$D$30))</f>
      </c>
      <c r="E40" s="7" t="s">
        <v>3</v>
      </c>
      <c r="F40" s="7"/>
      <c r="G40" s="7"/>
      <c r="H40" s="7"/>
    </row>
    <row r="41" spans="1:8" ht="12.75" customHeight="1">
      <c r="A41" s="7"/>
      <c r="B41" s="7"/>
      <c r="C41" s="13" t="s">
        <v>158</v>
      </c>
      <c r="D41" s="30">
        <f>IF(ISERROR(L31),"",D40/$D$28)</f>
      </c>
      <c r="E41" s="7"/>
      <c r="F41" s="97"/>
      <c r="G41" s="7"/>
      <c r="H41" s="7"/>
    </row>
    <row r="42" spans="1:8" ht="12.75" customHeight="1">
      <c r="A42" s="7"/>
      <c r="B42" s="137">
        <f>IF(ISERROR(L33),"",IF(D41&gt;L38,J46,IF(D39&gt;D25,J47,"")))</f>
      </c>
      <c r="C42" s="145"/>
      <c r="D42" s="145"/>
      <c r="E42" s="145"/>
      <c r="F42" s="145"/>
      <c r="G42" s="32"/>
      <c r="H42" s="7"/>
    </row>
    <row r="43" spans="1:10" ht="12.75">
      <c r="A43" s="7"/>
      <c r="B43" s="145"/>
      <c r="C43" s="145"/>
      <c r="D43" s="145"/>
      <c r="E43" s="145"/>
      <c r="F43" s="145"/>
      <c r="G43" s="32"/>
      <c r="H43" s="7"/>
      <c r="J43" s="9" t="s">
        <v>218</v>
      </c>
    </row>
    <row r="44" spans="1:8" ht="12.75">
      <c r="A44" s="7"/>
      <c r="B44" s="112"/>
      <c r="C44" s="112"/>
      <c r="D44" s="112"/>
      <c r="E44" s="112"/>
      <c r="F44" s="112"/>
      <c r="G44" s="32"/>
      <c r="H44" s="7"/>
    </row>
    <row r="45" spans="1:10" ht="12.75">
      <c r="A45" s="7"/>
      <c r="B45" s="7"/>
      <c r="C45" s="31"/>
      <c r="D45" s="31"/>
      <c r="E45" s="31"/>
      <c r="F45" s="31"/>
      <c r="G45" s="31"/>
      <c r="H45" s="7"/>
      <c r="J45" s="9" t="s">
        <v>285</v>
      </c>
    </row>
    <row r="46" spans="1:10" ht="12.75" customHeight="1">
      <c r="A46" s="7"/>
      <c r="B46" s="137">
        <f>IF(AND(B36=J43,B42=J46),J48,IF(AND(B36=J45,B42=J47),J49,""))</f>
      </c>
      <c r="C46" s="138"/>
      <c r="D46" s="138"/>
      <c r="E46" s="138"/>
      <c r="F46" s="138"/>
      <c r="G46" s="138"/>
      <c r="H46" s="7"/>
      <c r="J46" s="9" t="s">
        <v>219</v>
      </c>
    </row>
    <row r="47" spans="1:10" ht="12.75">
      <c r="A47" s="7"/>
      <c r="B47" s="138"/>
      <c r="C47" s="138"/>
      <c r="D47" s="138"/>
      <c r="E47" s="138"/>
      <c r="F47" s="138"/>
      <c r="G47" s="138"/>
      <c r="H47" s="7"/>
      <c r="J47" s="9" t="s">
        <v>220</v>
      </c>
    </row>
    <row r="48" spans="1:15" ht="12.75">
      <c r="A48" s="7"/>
      <c r="B48" s="138"/>
      <c r="C48" s="138"/>
      <c r="D48" s="138"/>
      <c r="E48" s="138"/>
      <c r="F48" s="138"/>
      <c r="G48" s="138"/>
      <c r="H48" s="7"/>
      <c r="J48" s="9" t="s">
        <v>255</v>
      </c>
      <c r="L48" s="12"/>
      <c r="M48" s="12"/>
      <c r="N48" s="12"/>
      <c r="O48" s="12"/>
    </row>
    <row r="49" spans="1:10" s="12" customFormat="1" ht="12.75">
      <c r="A49" s="7"/>
      <c r="B49" s="7"/>
      <c r="C49" s="7"/>
      <c r="D49" s="7"/>
      <c r="E49" s="7"/>
      <c r="F49" s="7"/>
      <c r="G49" s="7"/>
      <c r="H49" s="7"/>
      <c r="J49" s="12" t="s">
        <v>256</v>
      </c>
    </row>
    <row r="50" s="12" customFormat="1" ht="12.75" hidden="1">
      <c r="A50" s="9"/>
    </row>
    <row r="51" s="12" customFormat="1" ht="12.75" hidden="1">
      <c r="A51" s="9"/>
    </row>
    <row r="52" spans="1:11" s="12" customFormat="1" ht="12.75" hidden="1">
      <c r="A52" s="9"/>
      <c r="B52" s="9"/>
      <c r="C52" s="9"/>
      <c r="D52" s="9"/>
      <c r="E52" s="9"/>
      <c r="G52" s="9"/>
      <c r="H52" s="9"/>
      <c r="I52" s="9"/>
      <c r="J52" s="9"/>
      <c r="K52" s="9"/>
    </row>
    <row r="53" spans="1:11" s="12" customFormat="1" ht="12.75" hidden="1">
      <c r="A53" s="9"/>
      <c r="B53" s="9"/>
      <c r="C53" s="9"/>
      <c r="D53" s="9"/>
      <c r="E53" s="9"/>
      <c r="G53" s="9"/>
      <c r="H53" s="9"/>
      <c r="I53" s="9"/>
      <c r="J53" s="9"/>
      <c r="K53" s="9"/>
    </row>
    <row r="54" spans="1:11" s="12" customFormat="1" ht="12.75" hidden="1">
      <c r="A54" s="9"/>
      <c r="B54" s="9"/>
      <c r="C54" s="9"/>
      <c r="D54" s="9"/>
      <c r="E54" s="9"/>
      <c r="G54" s="9"/>
      <c r="H54" s="9"/>
      <c r="I54" s="9"/>
      <c r="J54" s="9"/>
      <c r="K54" s="9"/>
    </row>
    <row r="55" spans="1:11" s="12" customFormat="1" ht="12.75" hidden="1">
      <c r="A55" s="9"/>
      <c r="B55" s="9"/>
      <c r="C55" s="9"/>
      <c r="D55" s="9"/>
      <c r="E55" s="9"/>
      <c r="G55" s="9"/>
      <c r="H55" s="9"/>
      <c r="I55" s="9"/>
      <c r="J55" s="9"/>
      <c r="K55" s="9"/>
    </row>
    <row r="56" spans="1:11" s="12" customFormat="1" ht="12.75" hidden="1">
      <c r="A56" s="9"/>
      <c r="B56" s="9"/>
      <c r="C56" s="9"/>
      <c r="D56" s="9"/>
      <c r="E56" s="9"/>
      <c r="G56" s="9"/>
      <c r="H56" s="9"/>
      <c r="I56" s="9"/>
      <c r="J56" s="9"/>
      <c r="K56" s="9"/>
    </row>
    <row r="57" spans="1:11" s="12" customFormat="1" ht="12.75" hidden="1">
      <c r="A57" s="9"/>
      <c r="B57" s="9"/>
      <c r="C57" s="9"/>
      <c r="D57" s="9"/>
      <c r="E57" s="9"/>
      <c r="G57" s="9"/>
      <c r="H57" s="9"/>
      <c r="I57" s="9"/>
      <c r="J57" s="9"/>
      <c r="K57" s="9"/>
    </row>
    <row r="58" spans="1:11" s="12" customFormat="1" ht="12.75" hidden="1">
      <c r="A58" s="9"/>
      <c r="B58" s="9"/>
      <c r="C58" s="9"/>
      <c r="D58" s="9"/>
      <c r="E58" s="9"/>
      <c r="G58" s="9"/>
      <c r="H58" s="9"/>
      <c r="I58" s="9"/>
      <c r="J58" s="9"/>
      <c r="K58" s="9"/>
    </row>
    <row r="59" spans="1:11" s="12" customFormat="1" ht="12.75" hidden="1">
      <c r="A59" s="9"/>
      <c r="B59" s="9"/>
      <c r="C59" s="9"/>
      <c r="D59" s="9"/>
      <c r="E59" s="9"/>
      <c r="G59" s="9"/>
      <c r="H59" s="9"/>
      <c r="I59" s="9"/>
      <c r="J59" s="9"/>
      <c r="K59" s="9"/>
    </row>
    <row r="60" spans="1:11" s="12" customFormat="1" ht="12.75" hidden="1">
      <c r="A60" s="9"/>
      <c r="B60" s="9"/>
      <c r="C60" s="9"/>
      <c r="D60" s="9"/>
      <c r="E60" s="9"/>
      <c r="G60" s="9"/>
      <c r="H60" s="9"/>
      <c r="I60" s="9"/>
      <c r="J60" s="9"/>
      <c r="K60" s="9"/>
    </row>
    <row r="61" spans="1:18" s="12" customFormat="1" ht="12.75" hidden="1">
      <c r="A61" s="33" t="s">
        <v>48</v>
      </c>
      <c r="B61" s="33" t="s">
        <v>49</v>
      </c>
      <c r="C61" s="33" t="s">
        <v>50</v>
      </c>
      <c r="D61" s="33" t="s">
        <v>51</v>
      </c>
      <c r="E61" s="33" t="s">
        <v>52</v>
      </c>
      <c r="F61" s="33" t="s">
        <v>53</v>
      </c>
      <c r="G61" s="33" t="s">
        <v>54</v>
      </c>
      <c r="H61" s="33" t="s">
        <v>55</v>
      </c>
      <c r="I61" s="33" t="s">
        <v>118</v>
      </c>
      <c r="J61" s="33" t="s">
        <v>119</v>
      </c>
      <c r="K61" s="33" t="s">
        <v>120</v>
      </c>
      <c r="L61" s="33" t="s">
        <v>121</v>
      </c>
      <c r="M61" s="33" t="s">
        <v>56</v>
      </c>
      <c r="N61" s="33" t="s">
        <v>57</v>
      </c>
      <c r="O61" s="33" t="s">
        <v>58</v>
      </c>
      <c r="P61" s="33" t="s">
        <v>254</v>
      </c>
      <c r="Q61" s="33" t="s">
        <v>254</v>
      </c>
      <c r="R61" s="12" t="s">
        <v>290</v>
      </c>
    </row>
    <row r="62" spans="1:18" s="12" customFormat="1" ht="12.75" hidden="1">
      <c r="A62" s="10" t="str">
        <f aca="true" t="shared" si="0" ref="A62:A70">CONCATENATE("  ",P62,") ",Q62)</f>
        <v>  1) Manway Cover 18" - 6 Bolts 3/4"</v>
      </c>
      <c r="D62" s="12">
        <v>6</v>
      </c>
      <c r="E62" s="12">
        <v>0.75</v>
      </c>
      <c r="F62" s="12">
        <v>21</v>
      </c>
      <c r="G62" s="12" t="s">
        <v>59</v>
      </c>
      <c r="H62" s="12" t="s">
        <v>60</v>
      </c>
      <c r="I62" s="12">
        <v>17.5</v>
      </c>
      <c r="J62" s="12">
        <v>19.75</v>
      </c>
      <c r="K62" s="12">
        <v>18</v>
      </c>
      <c r="L62" s="12">
        <v>19.25</v>
      </c>
      <c r="N62" s="36">
        <f aca="true" t="shared" si="1" ref="N62:N93">(PI()/4)*(L62^2-K62^2)-D62*PI()*(M62/2)^2</f>
        <v>36.57010198319369</v>
      </c>
      <c r="O62" s="37"/>
      <c r="P62" s="12">
        <v>1</v>
      </c>
      <c r="Q62" s="10" t="s">
        <v>126</v>
      </c>
      <c r="R62" s="12">
        <v>60</v>
      </c>
    </row>
    <row r="63" spans="1:18" s="12" customFormat="1" ht="12.75" hidden="1">
      <c r="A63" s="10" t="str">
        <f t="shared" si="0"/>
        <v>  2) Manway Cover 18" - 6 Bolts 7/8"</v>
      </c>
      <c r="D63" s="12">
        <v>6</v>
      </c>
      <c r="E63" s="12">
        <v>0.875</v>
      </c>
      <c r="F63" s="12">
        <v>21</v>
      </c>
      <c r="G63" s="12" t="s">
        <v>59</v>
      </c>
      <c r="H63" s="12" t="s">
        <v>60</v>
      </c>
      <c r="I63" s="12">
        <v>17.5</v>
      </c>
      <c r="J63" s="12">
        <v>19.75</v>
      </c>
      <c r="K63" s="12">
        <v>18</v>
      </c>
      <c r="L63" s="12">
        <v>19.25</v>
      </c>
      <c r="N63" s="36">
        <f t="shared" si="1"/>
        <v>36.57010198319369</v>
      </c>
      <c r="O63" s="37"/>
      <c r="P63" s="12">
        <v>2</v>
      </c>
      <c r="Q63" s="10" t="s">
        <v>124</v>
      </c>
      <c r="R63" s="12">
        <v>60</v>
      </c>
    </row>
    <row r="64" spans="1:18" s="12" customFormat="1" ht="12.75" hidden="1">
      <c r="A64" s="10" t="str">
        <f t="shared" si="0"/>
        <v>  3) Manway Cover 18" - 6 Bolts 1"</v>
      </c>
      <c r="D64" s="12">
        <v>6</v>
      </c>
      <c r="E64" s="12">
        <v>1</v>
      </c>
      <c r="F64" s="12">
        <v>21</v>
      </c>
      <c r="G64" s="12" t="s">
        <v>59</v>
      </c>
      <c r="H64" s="12" t="s">
        <v>60</v>
      </c>
      <c r="I64" s="12">
        <v>17.5</v>
      </c>
      <c r="J64" s="12">
        <v>19.75</v>
      </c>
      <c r="K64" s="12">
        <v>18</v>
      </c>
      <c r="L64" s="12">
        <v>19.25</v>
      </c>
      <c r="N64" s="36">
        <f t="shared" si="1"/>
        <v>36.57010198319369</v>
      </c>
      <c r="O64" s="37"/>
      <c r="P64" s="12">
        <v>3</v>
      </c>
      <c r="Q64" s="10" t="s">
        <v>125</v>
      </c>
      <c r="R64" s="12">
        <v>60</v>
      </c>
    </row>
    <row r="65" spans="1:18" s="12" customFormat="1" ht="12.75" hidden="1">
      <c r="A65" s="10" t="str">
        <f t="shared" si="0"/>
        <v>  4) Manway Cover 18" - 8 Bolts 3/4"</v>
      </c>
      <c r="D65" s="12">
        <v>8</v>
      </c>
      <c r="E65" s="12">
        <v>0.75</v>
      </c>
      <c r="F65" s="12">
        <v>21</v>
      </c>
      <c r="G65" s="12" t="s">
        <v>59</v>
      </c>
      <c r="H65" s="12" t="s">
        <v>60</v>
      </c>
      <c r="I65" s="12">
        <v>17.5</v>
      </c>
      <c r="J65" s="12">
        <v>19.75</v>
      </c>
      <c r="K65" s="12">
        <v>18</v>
      </c>
      <c r="L65" s="12">
        <v>19.25</v>
      </c>
      <c r="N65" s="36">
        <f t="shared" si="1"/>
        <v>36.57010198319369</v>
      </c>
      <c r="O65" s="37"/>
      <c r="P65" s="12">
        <v>4</v>
      </c>
      <c r="Q65" s="10" t="s">
        <v>127</v>
      </c>
      <c r="R65" s="12">
        <v>60</v>
      </c>
    </row>
    <row r="66" spans="1:18" s="12" customFormat="1" ht="12.75" hidden="1">
      <c r="A66" s="10" t="str">
        <f t="shared" si="0"/>
        <v>  5) Manway Cover 18" - 8 Bolts 7/8"</v>
      </c>
      <c r="D66" s="12">
        <v>8</v>
      </c>
      <c r="E66" s="12">
        <v>0.875</v>
      </c>
      <c r="F66" s="12">
        <v>21</v>
      </c>
      <c r="G66" s="12" t="s">
        <v>59</v>
      </c>
      <c r="H66" s="12" t="s">
        <v>60</v>
      </c>
      <c r="I66" s="12">
        <v>17.5</v>
      </c>
      <c r="J66" s="12">
        <v>19.75</v>
      </c>
      <c r="K66" s="12">
        <v>18</v>
      </c>
      <c r="L66" s="12">
        <v>19.25</v>
      </c>
      <c r="N66" s="36">
        <f t="shared" si="1"/>
        <v>36.57010198319369</v>
      </c>
      <c r="O66" s="37"/>
      <c r="P66" s="12">
        <v>5</v>
      </c>
      <c r="Q66" s="10" t="s">
        <v>128</v>
      </c>
      <c r="R66" s="12">
        <v>60</v>
      </c>
    </row>
    <row r="67" spans="1:18" s="12" customFormat="1" ht="12.75" hidden="1">
      <c r="A67" s="10" t="str">
        <f t="shared" si="0"/>
        <v>  6) Manway Cover 20" - 6 Bolts 3/4"</v>
      </c>
      <c r="D67" s="12">
        <v>6</v>
      </c>
      <c r="E67" s="12">
        <v>0.75</v>
      </c>
      <c r="F67" s="12">
        <v>24</v>
      </c>
      <c r="G67" s="12" t="s">
        <v>59</v>
      </c>
      <c r="H67" s="12" t="s">
        <v>61</v>
      </c>
      <c r="I67" s="12">
        <v>19.5</v>
      </c>
      <c r="J67" s="12">
        <v>21.75</v>
      </c>
      <c r="K67" s="12">
        <v>20</v>
      </c>
      <c r="L67" s="12">
        <v>21.25</v>
      </c>
      <c r="N67" s="36">
        <f t="shared" si="1"/>
        <v>40.49709280018093</v>
      </c>
      <c r="O67" s="37"/>
      <c r="P67" s="12">
        <v>6</v>
      </c>
      <c r="Q67" s="10" t="s">
        <v>130</v>
      </c>
      <c r="R67" s="12">
        <v>60</v>
      </c>
    </row>
    <row r="68" spans="1:18" s="12" customFormat="1" ht="12.75" hidden="1">
      <c r="A68" s="10" t="str">
        <f t="shared" si="0"/>
        <v>  7) Manway Cover 20" - 6 Bolts 7/8"</v>
      </c>
      <c r="D68" s="12">
        <v>6</v>
      </c>
      <c r="E68" s="12">
        <v>0.875</v>
      </c>
      <c r="F68" s="12">
        <v>24</v>
      </c>
      <c r="G68" s="12" t="s">
        <v>59</v>
      </c>
      <c r="H68" s="12" t="s">
        <v>61</v>
      </c>
      <c r="I68" s="12">
        <v>19.5</v>
      </c>
      <c r="J68" s="12">
        <v>21.75</v>
      </c>
      <c r="K68" s="12">
        <v>20</v>
      </c>
      <c r="L68" s="12">
        <v>21.25</v>
      </c>
      <c r="N68" s="36">
        <f t="shared" si="1"/>
        <v>40.49709280018093</v>
      </c>
      <c r="O68" s="37"/>
      <c r="P68" s="12">
        <v>7</v>
      </c>
      <c r="Q68" s="10" t="s">
        <v>131</v>
      </c>
      <c r="R68" s="12">
        <v>60</v>
      </c>
    </row>
    <row r="69" spans="1:18" s="12" customFormat="1" ht="12.75" hidden="1">
      <c r="A69" s="10" t="str">
        <f t="shared" si="0"/>
        <v>  8) Manway Cover 20" - 6 Bolts 1"</v>
      </c>
      <c r="D69" s="12">
        <v>6</v>
      </c>
      <c r="E69" s="12">
        <v>1</v>
      </c>
      <c r="F69" s="12">
        <v>24</v>
      </c>
      <c r="G69" s="12" t="s">
        <v>59</v>
      </c>
      <c r="H69" s="12" t="s">
        <v>61</v>
      </c>
      <c r="I69" s="12">
        <v>19.5</v>
      </c>
      <c r="J69" s="12">
        <v>21.75</v>
      </c>
      <c r="K69" s="12">
        <v>20</v>
      </c>
      <c r="L69" s="12">
        <v>21.25</v>
      </c>
      <c r="N69" s="36">
        <f t="shared" si="1"/>
        <v>40.49709280018093</v>
      </c>
      <c r="O69" s="37"/>
      <c r="P69" s="12">
        <v>8</v>
      </c>
      <c r="Q69" s="10" t="s">
        <v>129</v>
      </c>
      <c r="R69" s="12">
        <v>60</v>
      </c>
    </row>
    <row r="70" spans="1:18" s="12" customFormat="1" ht="12.75" hidden="1">
      <c r="A70" s="10" t="str">
        <f t="shared" si="0"/>
        <v>  9) Manway Cover 20" - 8 Bolts 3/4"</v>
      </c>
      <c r="D70" s="12">
        <v>8</v>
      </c>
      <c r="E70" s="12">
        <v>0.75</v>
      </c>
      <c r="F70" s="12">
        <v>24</v>
      </c>
      <c r="G70" s="12" t="s">
        <v>59</v>
      </c>
      <c r="H70" s="12" t="s">
        <v>61</v>
      </c>
      <c r="I70" s="12">
        <v>19.5</v>
      </c>
      <c r="J70" s="12">
        <v>21.75</v>
      </c>
      <c r="K70" s="12">
        <v>20</v>
      </c>
      <c r="L70" s="12">
        <v>21.25</v>
      </c>
      <c r="N70" s="36">
        <f t="shared" si="1"/>
        <v>40.49709280018093</v>
      </c>
      <c r="O70" s="37"/>
      <c r="P70" s="12">
        <v>9</v>
      </c>
      <c r="Q70" s="10" t="s">
        <v>133</v>
      </c>
      <c r="R70" s="12">
        <v>60</v>
      </c>
    </row>
    <row r="71" spans="1:18" s="12" customFormat="1" ht="12.75" hidden="1">
      <c r="A71" s="10" t="str">
        <f aca="true" t="shared" si="2" ref="A71:A101">CONCATENATE(P71,") ",Q71)</f>
        <v>10) Manway Cover 20" - 8 Bolts 7/8"</v>
      </c>
      <c r="D71" s="12">
        <v>8</v>
      </c>
      <c r="E71" s="12">
        <v>0.875</v>
      </c>
      <c r="F71" s="12">
        <v>24</v>
      </c>
      <c r="G71" s="12" t="s">
        <v>59</v>
      </c>
      <c r="H71" s="12" t="s">
        <v>61</v>
      </c>
      <c r="I71" s="12">
        <v>19.5</v>
      </c>
      <c r="J71" s="12">
        <v>21.75</v>
      </c>
      <c r="K71" s="12">
        <v>20</v>
      </c>
      <c r="L71" s="12">
        <v>21.25</v>
      </c>
      <c r="N71" s="36">
        <f t="shared" si="1"/>
        <v>40.49709280018093</v>
      </c>
      <c r="O71" s="37"/>
      <c r="P71" s="12">
        <v>10</v>
      </c>
      <c r="Q71" s="10" t="s">
        <v>134</v>
      </c>
      <c r="R71" s="12">
        <v>60</v>
      </c>
    </row>
    <row r="72" spans="1:18" s="12" customFormat="1" ht="12.75" hidden="1">
      <c r="A72" s="10" t="str">
        <f t="shared" si="2"/>
        <v>11) Manway Cover 20" - 8 Bolts 1"</v>
      </c>
      <c r="D72" s="12">
        <v>8</v>
      </c>
      <c r="E72" s="12">
        <v>1</v>
      </c>
      <c r="F72" s="12">
        <v>24</v>
      </c>
      <c r="G72" s="12" t="s">
        <v>59</v>
      </c>
      <c r="H72" s="12" t="s">
        <v>61</v>
      </c>
      <c r="I72" s="12">
        <v>19.5</v>
      </c>
      <c r="J72" s="12">
        <v>21.75</v>
      </c>
      <c r="K72" s="12">
        <v>20</v>
      </c>
      <c r="L72" s="12">
        <v>21.25</v>
      </c>
      <c r="N72" s="36">
        <f t="shared" si="1"/>
        <v>40.49709280018093</v>
      </c>
      <c r="O72" s="37"/>
      <c r="P72" s="12">
        <v>11</v>
      </c>
      <c r="Q72" s="10" t="s">
        <v>132</v>
      </c>
      <c r="R72" s="12">
        <v>60</v>
      </c>
    </row>
    <row r="73" spans="1:18" s="12" customFormat="1" ht="12.75" hidden="1">
      <c r="A73" s="10" t="str">
        <f t="shared" si="2"/>
        <v>12) Manway Cover 24" - 8 Bolts 3/4"</v>
      </c>
      <c r="D73" s="12">
        <v>8</v>
      </c>
      <c r="E73" s="12">
        <v>0.75</v>
      </c>
      <c r="F73" s="12">
        <v>28.5</v>
      </c>
      <c r="G73" s="12" t="s">
        <v>59</v>
      </c>
      <c r="H73" s="12" t="s">
        <v>62</v>
      </c>
      <c r="I73" s="12">
        <v>23.75</v>
      </c>
      <c r="J73" s="12">
        <v>26</v>
      </c>
      <c r="K73" s="12">
        <v>24</v>
      </c>
      <c r="L73" s="12">
        <v>25.25</v>
      </c>
      <c r="N73" s="36">
        <f t="shared" si="1"/>
        <v>48.35107443415541</v>
      </c>
      <c r="O73" s="37"/>
      <c r="P73" s="12">
        <v>12</v>
      </c>
      <c r="Q73" s="10" t="s">
        <v>135</v>
      </c>
      <c r="R73" s="12">
        <v>60</v>
      </c>
    </row>
    <row r="74" spans="1:18" s="12" customFormat="1" ht="12.75" hidden="1">
      <c r="A74" s="10" t="str">
        <f t="shared" si="2"/>
        <v>13) Manway Cover 24" - 8 Bolts 7/8"</v>
      </c>
      <c r="D74" s="12">
        <v>8</v>
      </c>
      <c r="E74" s="12">
        <v>0.875</v>
      </c>
      <c r="F74" s="12">
        <v>28.5</v>
      </c>
      <c r="G74" s="12" t="s">
        <v>59</v>
      </c>
      <c r="H74" s="12" t="s">
        <v>62</v>
      </c>
      <c r="I74" s="12">
        <v>23.75</v>
      </c>
      <c r="J74" s="12">
        <v>26</v>
      </c>
      <c r="K74" s="12">
        <v>24</v>
      </c>
      <c r="L74" s="12">
        <v>25.25</v>
      </c>
      <c r="N74" s="36">
        <f t="shared" si="1"/>
        <v>48.35107443415541</v>
      </c>
      <c r="O74" s="37"/>
      <c r="P74" s="12">
        <v>13</v>
      </c>
      <c r="Q74" s="10" t="s">
        <v>137</v>
      </c>
      <c r="R74" s="12">
        <v>60</v>
      </c>
    </row>
    <row r="75" spans="1:18" s="12" customFormat="1" ht="12.75" hidden="1">
      <c r="A75" s="10" t="str">
        <f t="shared" si="2"/>
        <v>14) Manway Cover 24" - 8 Bolts 1"</v>
      </c>
      <c r="D75" s="12">
        <v>8</v>
      </c>
      <c r="E75" s="12">
        <v>1</v>
      </c>
      <c r="F75" s="12">
        <v>28.5</v>
      </c>
      <c r="G75" s="12" t="s">
        <v>59</v>
      </c>
      <c r="H75" s="12" t="s">
        <v>62</v>
      </c>
      <c r="I75" s="12">
        <v>23.75</v>
      </c>
      <c r="J75" s="12">
        <v>26</v>
      </c>
      <c r="K75" s="12">
        <v>24</v>
      </c>
      <c r="L75" s="12">
        <v>25.25</v>
      </c>
      <c r="N75" s="36">
        <f t="shared" si="1"/>
        <v>48.35107443415541</v>
      </c>
      <c r="O75" s="37"/>
      <c r="P75" s="12">
        <v>14</v>
      </c>
      <c r="Q75" s="10" t="s">
        <v>136</v>
      </c>
      <c r="R75" s="12">
        <v>60</v>
      </c>
    </row>
    <row r="76" spans="1:18" s="12" customFormat="1" ht="12.75" hidden="1">
      <c r="A76" s="10" t="str">
        <f t="shared" si="2"/>
        <v>15) Pressure Plate 18" - E6</v>
      </c>
      <c r="B76" s="12" t="s">
        <v>63</v>
      </c>
      <c r="D76" s="12">
        <v>20</v>
      </c>
      <c r="E76" s="12">
        <v>1.125</v>
      </c>
      <c r="F76" s="12">
        <v>23</v>
      </c>
      <c r="G76" s="12" t="s">
        <v>59</v>
      </c>
      <c r="I76" s="12">
        <v>19.25</v>
      </c>
      <c r="J76" s="12">
        <v>20.25</v>
      </c>
      <c r="K76" s="12">
        <v>19.238</v>
      </c>
      <c r="L76" s="12">
        <v>20.263</v>
      </c>
      <c r="N76" s="34">
        <f t="shared" si="1"/>
        <v>31.799613173671744</v>
      </c>
      <c r="P76" s="12">
        <v>15</v>
      </c>
      <c r="Q76" s="10" t="s">
        <v>263</v>
      </c>
      <c r="R76" s="12">
        <v>0</v>
      </c>
    </row>
    <row r="77" spans="1:18" s="12" customFormat="1" ht="12.75" hidden="1">
      <c r="A77" s="10" t="str">
        <f t="shared" si="2"/>
        <v>16) Pressure Plate 20" - E8 &amp; E10</v>
      </c>
      <c r="B77" s="12" t="s">
        <v>64</v>
      </c>
      <c r="D77" s="12">
        <v>20</v>
      </c>
      <c r="E77" s="12">
        <v>1.125</v>
      </c>
      <c r="F77" s="12">
        <v>25</v>
      </c>
      <c r="G77" s="12" t="s">
        <v>59</v>
      </c>
      <c r="I77" s="12">
        <v>21.25</v>
      </c>
      <c r="J77" s="12">
        <v>22.25</v>
      </c>
      <c r="K77" s="12">
        <v>21.238</v>
      </c>
      <c r="L77" s="12">
        <v>22.263</v>
      </c>
      <c r="N77" s="34">
        <f t="shared" si="1"/>
        <v>35.019745643601254</v>
      </c>
      <c r="P77" s="12">
        <v>16</v>
      </c>
      <c r="Q77" s="10" t="s">
        <v>264</v>
      </c>
      <c r="R77" s="12">
        <v>0</v>
      </c>
    </row>
    <row r="78" spans="1:18" s="12" customFormat="1" ht="12.75" hidden="1">
      <c r="A78" s="10" t="str">
        <f t="shared" si="2"/>
        <v>17) Pressure Plate 22" - E12</v>
      </c>
      <c r="D78" s="12">
        <v>20</v>
      </c>
      <c r="E78" s="12">
        <v>1.125</v>
      </c>
      <c r="F78" s="12">
        <v>27</v>
      </c>
      <c r="G78" s="12" t="s">
        <v>59</v>
      </c>
      <c r="I78" s="12">
        <v>23.25</v>
      </c>
      <c r="J78" s="12">
        <v>24.25</v>
      </c>
      <c r="K78" s="12">
        <v>23.238</v>
      </c>
      <c r="L78" s="12">
        <v>24.263</v>
      </c>
      <c r="N78" s="34">
        <f t="shared" si="1"/>
        <v>38.23987811353086</v>
      </c>
      <c r="P78" s="12">
        <v>17</v>
      </c>
      <c r="Q78" s="10" t="s">
        <v>265</v>
      </c>
      <c r="R78" s="12">
        <v>0</v>
      </c>
    </row>
    <row r="79" spans="1:18" s="12" customFormat="1" ht="12.75" hidden="1">
      <c r="A79" s="10" t="str">
        <f t="shared" si="2"/>
        <v>18) Angle Valve 1"</v>
      </c>
      <c r="D79" s="12">
        <v>4</v>
      </c>
      <c r="E79" s="12">
        <v>0.75</v>
      </c>
      <c r="F79" s="12">
        <v>3.5</v>
      </c>
      <c r="G79" s="12" t="s">
        <v>59</v>
      </c>
      <c r="I79" s="12">
        <v>1.5</v>
      </c>
      <c r="J79" s="12">
        <v>2.25</v>
      </c>
      <c r="K79" s="12">
        <v>1.505</v>
      </c>
      <c r="L79" s="12">
        <v>2.245</v>
      </c>
      <c r="N79" s="34">
        <f t="shared" si="1"/>
        <v>2.1794799034279198</v>
      </c>
      <c r="P79" s="12">
        <v>18</v>
      </c>
      <c r="Q79" s="10" t="s">
        <v>122</v>
      </c>
      <c r="R79" s="12">
        <v>0</v>
      </c>
    </row>
    <row r="80" spans="1:18" ht="12.75" hidden="1">
      <c r="A80" s="10" t="str">
        <f t="shared" si="2"/>
        <v>19) Angle Valve 2" &amp; 3"</v>
      </c>
      <c r="B80" s="12"/>
      <c r="C80" s="12"/>
      <c r="D80" s="12">
        <v>4</v>
      </c>
      <c r="E80" s="12">
        <v>0.75</v>
      </c>
      <c r="F80" s="12">
        <v>6.25</v>
      </c>
      <c r="G80" s="12" t="s">
        <v>59</v>
      </c>
      <c r="H80" s="12"/>
      <c r="I80" s="12">
        <v>3.25</v>
      </c>
      <c r="J80" s="12">
        <v>4</v>
      </c>
      <c r="K80" s="12">
        <v>3.255</v>
      </c>
      <c r="L80" s="12">
        <v>3.995</v>
      </c>
      <c r="M80" s="12"/>
      <c r="N80" s="34">
        <f t="shared" si="1"/>
        <v>4.213661146627311</v>
      </c>
      <c r="O80" s="12"/>
      <c r="P80" s="12">
        <v>19</v>
      </c>
      <c r="Q80" s="10" t="s">
        <v>123</v>
      </c>
      <c r="R80" s="12">
        <v>0</v>
      </c>
    </row>
    <row r="81" spans="1:18" ht="12.75" hidden="1">
      <c r="A81" s="10" t="str">
        <f t="shared" si="2"/>
        <v>20) Gauge Device - E19.10</v>
      </c>
      <c r="B81" s="12" t="s">
        <v>65</v>
      </c>
      <c r="C81" s="12"/>
      <c r="D81" s="12">
        <v>4</v>
      </c>
      <c r="E81" s="12">
        <v>0.75</v>
      </c>
      <c r="F81" s="12">
        <v>3.25</v>
      </c>
      <c r="G81" s="12" t="s">
        <v>59</v>
      </c>
      <c r="H81" s="12"/>
      <c r="I81" s="12">
        <v>1.5</v>
      </c>
      <c r="J81" s="12">
        <v>2.25</v>
      </c>
      <c r="K81" s="12">
        <v>1.505</v>
      </c>
      <c r="L81" s="12">
        <v>2.245</v>
      </c>
      <c r="M81" s="12"/>
      <c r="N81" s="34">
        <f t="shared" si="1"/>
        <v>2.1794799034279198</v>
      </c>
      <c r="O81" s="12" t="s">
        <v>66</v>
      </c>
      <c r="P81" s="12">
        <v>20</v>
      </c>
      <c r="Q81" s="10" t="s">
        <v>139</v>
      </c>
      <c r="R81" s="12">
        <v>0</v>
      </c>
    </row>
    <row r="82" spans="1:18" ht="12.75" hidden="1">
      <c r="A82" s="10" t="str">
        <f t="shared" si="2"/>
        <v>21) Gauge Device - E19.12</v>
      </c>
      <c r="B82" s="12" t="s">
        <v>65</v>
      </c>
      <c r="C82" s="12"/>
      <c r="D82" s="12">
        <v>4</v>
      </c>
      <c r="E82" s="12">
        <v>0.75</v>
      </c>
      <c r="F82" s="12">
        <v>4.125</v>
      </c>
      <c r="G82" s="12" t="s">
        <v>59</v>
      </c>
      <c r="H82" s="12"/>
      <c r="I82" s="12">
        <v>1.5</v>
      </c>
      <c r="J82" s="12">
        <v>2.25</v>
      </c>
      <c r="K82" s="12">
        <v>1.505</v>
      </c>
      <c r="L82" s="12">
        <v>2.245</v>
      </c>
      <c r="M82" s="12"/>
      <c r="N82" s="34">
        <f t="shared" si="1"/>
        <v>2.1794799034279198</v>
      </c>
      <c r="O82" s="12"/>
      <c r="P82" s="12">
        <v>21</v>
      </c>
      <c r="Q82" s="10" t="s">
        <v>140</v>
      </c>
      <c r="R82" s="12">
        <v>0</v>
      </c>
    </row>
    <row r="83" spans="1:18" ht="12.75" hidden="1">
      <c r="A83" s="10" t="str">
        <f t="shared" si="2"/>
        <v>22) Pressure Relief Valve - Tounge &amp; Groove - E19.14</v>
      </c>
      <c r="B83" s="12"/>
      <c r="C83" s="12"/>
      <c r="D83" s="12">
        <v>4</v>
      </c>
      <c r="E83" s="12">
        <v>0.75</v>
      </c>
      <c r="F83" s="12">
        <v>6.25</v>
      </c>
      <c r="G83" s="12" t="s">
        <v>59</v>
      </c>
      <c r="H83" s="12"/>
      <c r="I83" s="12">
        <v>1.5</v>
      </c>
      <c r="J83" s="12">
        <v>2.25</v>
      </c>
      <c r="K83" s="12">
        <v>1.505</v>
      </c>
      <c r="L83" s="12">
        <v>2.245</v>
      </c>
      <c r="M83" s="12"/>
      <c r="N83" s="34">
        <f t="shared" si="1"/>
        <v>2.1794799034279198</v>
      </c>
      <c r="O83" s="12"/>
      <c r="P83" s="12">
        <v>22</v>
      </c>
      <c r="Q83" s="10" t="s">
        <v>167</v>
      </c>
      <c r="R83" s="12">
        <v>0</v>
      </c>
    </row>
    <row r="84" spans="1:18" ht="12.75" hidden="1">
      <c r="A84" s="10" t="str">
        <f t="shared" si="2"/>
        <v>23) Pressure Relief Valve - Tounge &amp; Groove - E19.16</v>
      </c>
      <c r="B84" s="12"/>
      <c r="C84" s="12"/>
      <c r="D84" s="12">
        <v>4</v>
      </c>
      <c r="E84" s="12">
        <v>0.75</v>
      </c>
      <c r="F84" s="12">
        <v>6.25</v>
      </c>
      <c r="G84" s="12" t="s">
        <v>59</v>
      </c>
      <c r="H84" s="12"/>
      <c r="I84" s="12">
        <v>4</v>
      </c>
      <c r="J84" s="12">
        <v>4.75</v>
      </c>
      <c r="K84" s="12">
        <v>4.005</v>
      </c>
      <c r="L84" s="12">
        <v>4.745</v>
      </c>
      <c r="M84" s="12"/>
      <c r="N84" s="34">
        <f t="shared" si="1"/>
        <v>5.085453107998479</v>
      </c>
      <c r="O84" s="12"/>
      <c r="P84" s="12">
        <v>23</v>
      </c>
      <c r="Q84" s="10" t="s">
        <v>168</v>
      </c>
      <c r="R84" s="12">
        <v>0</v>
      </c>
    </row>
    <row r="85" spans="1:18" ht="12.75" hidden="1">
      <c r="A85" s="10" t="str">
        <f t="shared" si="2"/>
        <v>24) Pressure Relief Valve - Tounge &amp; Groove - E19.18</v>
      </c>
      <c r="B85" s="12"/>
      <c r="C85" s="12"/>
      <c r="D85" s="12">
        <v>4</v>
      </c>
      <c r="E85" s="12">
        <v>0.75</v>
      </c>
      <c r="F85" s="12">
        <v>6.5</v>
      </c>
      <c r="G85" s="12" t="s">
        <v>59</v>
      </c>
      <c r="H85" s="12"/>
      <c r="I85" s="12">
        <v>4.25</v>
      </c>
      <c r="J85" s="12">
        <v>5</v>
      </c>
      <c r="K85" s="12">
        <v>4.255</v>
      </c>
      <c r="L85" s="12">
        <v>4.995</v>
      </c>
      <c r="M85" s="12"/>
      <c r="N85" s="34">
        <f t="shared" si="1"/>
        <v>5.376050428455535</v>
      </c>
      <c r="O85" s="12"/>
      <c r="P85" s="12">
        <v>24</v>
      </c>
      <c r="Q85" s="10" t="s">
        <v>169</v>
      </c>
      <c r="R85" s="12">
        <v>0</v>
      </c>
    </row>
    <row r="86" spans="1:18" ht="12.75" hidden="1">
      <c r="A86" s="10" t="str">
        <f t="shared" si="2"/>
        <v>25) Pressure Relief Valve - Tounge &amp; Groove - E19.20</v>
      </c>
      <c r="B86" s="12"/>
      <c r="C86" s="12"/>
      <c r="D86" s="12">
        <v>4</v>
      </c>
      <c r="E86" s="12">
        <v>0.875</v>
      </c>
      <c r="F86" s="12">
        <v>8</v>
      </c>
      <c r="G86" s="12" t="s">
        <v>59</v>
      </c>
      <c r="H86" s="12"/>
      <c r="I86" s="12">
        <v>6</v>
      </c>
      <c r="J86" s="12">
        <v>6.75</v>
      </c>
      <c r="K86" s="12">
        <v>6.005</v>
      </c>
      <c r="L86" s="12">
        <v>6.745</v>
      </c>
      <c r="M86" s="12"/>
      <c r="N86" s="34">
        <f t="shared" si="1"/>
        <v>7.410231671654926</v>
      </c>
      <c r="O86" s="12"/>
      <c r="P86" s="12">
        <v>25</v>
      </c>
      <c r="Q86" s="10" t="s">
        <v>170</v>
      </c>
      <c r="R86" s="12">
        <v>0</v>
      </c>
    </row>
    <row r="87" spans="1:18" ht="12.75" hidden="1">
      <c r="A87" s="10" t="str">
        <f t="shared" si="2"/>
        <v>26) Pressure Relief Valve - Tounge &amp; Groove - E19.22</v>
      </c>
      <c r="B87" s="12"/>
      <c r="C87" s="12"/>
      <c r="D87" s="12">
        <v>4</v>
      </c>
      <c r="E87" s="12">
        <v>0.75</v>
      </c>
      <c r="F87" s="12">
        <v>9.25</v>
      </c>
      <c r="G87" s="12" t="s">
        <v>59</v>
      </c>
      <c r="H87" s="12"/>
      <c r="I87" s="12">
        <v>7.25</v>
      </c>
      <c r="J87" s="12">
        <v>8</v>
      </c>
      <c r="K87" s="12">
        <v>7.255</v>
      </c>
      <c r="L87" s="12">
        <v>7.995</v>
      </c>
      <c r="M87" s="12"/>
      <c r="N87" s="34">
        <f t="shared" si="1"/>
        <v>8.863218273940207</v>
      </c>
      <c r="O87" s="12"/>
      <c r="P87" s="12">
        <v>26</v>
      </c>
      <c r="Q87" s="10" t="s">
        <v>171</v>
      </c>
      <c r="R87" s="12">
        <v>0</v>
      </c>
    </row>
    <row r="88" spans="1:18" ht="12.75" hidden="1">
      <c r="A88" s="10" t="str">
        <f t="shared" si="2"/>
        <v>27) Bottom Outlet Valve - Jamesbury AZFRL, SUZRL, AZFRC, SUZRC, 5RET, WSRR, WSRF</v>
      </c>
      <c r="B88" s="12"/>
      <c r="C88" s="12"/>
      <c r="D88" s="12">
        <v>8</v>
      </c>
      <c r="E88" s="12">
        <v>0.75</v>
      </c>
      <c r="F88" s="12">
        <v>10.625</v>
      </c>
      <c r="G88" s="12"/>
      <c r="H88" s="12"/>
      <c r="I88" s="12">
        <v>7.5</v>
      </c>
      <c r="J88" s="12">
        <v>8.5</v>
      </c>
      <c r="K88" s="12">
        <v>7.5</v>
      </c>
      <c r="L88" s="12">
        <v>8.5</v>
      </c>
      <c r="M88" s="12"/>
      <c r="N88" s="34">
        <f t="shared" si="1"/>
        <v>12.566370614359172</v>
      </c>
      <c r="O88" s="12"/>
      <c r="P88" s="12">
        <v>27</v>
      </c>
      <c r="Q88" s="10" t="s">
        <v>269</v>
      </c>
      <c r="R88" s="12">
        <v>0</v>
      </c>
    </row>
    <row r="89" spans="1:18" ht="12.75" hidden="1">
      <c r="A89" s="10" t="str">
        <f t="shared" si="2"/>
        <v>28) Bottom Outlet Valve - SALCO Products</v>
      </c>
      <c r="B89" s="12"/>
      <c r="C89" s="12"/>
      <c r="D89" s="12">
        <v>8</v>
      </c>
      <c r="E89" s="12">
        <v>0.75</v>
      </c>
      <c r="F89" s="12">
        <v>10.625</v>
      </c>
      <c r="G89" s="12"/>
      <c r="H89" s="12"/>
      <c r="I89" s="12">
        <v>7.5</v>
      </c>
      <c r="J89" s="12">
        <v>8.5</v>
      </c>
      <c r="K89" s="12">
        <v>7.5</v>
      </c>
      <c r="L89" s="12">
        <v>8.5</v>
      </c>
      <c r="M89" s="12"/>
      <c r="N89" s="34">
        <f t="shared" si="1"/>
        <v>12.566370614359172</v>
      </c>
      <c r="O89" s="12"/>
      <c r="P89" s="12">
        <v>28</v>
      </c>
      <c r="Q89" s="10" t="s">
        <v>270</v>
      </c>
      <c r="R89" s="12">
        <v>0</v>
      </c>
    </row>
    <row r="90" spans="1:18" ht="12.75" hidden="1">
      <c r="A90" s="10" t="str">
        <f t="shared" si="2"/>
        <v>29) Standard Downleg for 4" Jamesbury Ball Valve</v>
      </c>
      <c r="B90" s="12" t="s">
        <v>75</v>
      </c>
      <c r="C90" s="12" t="s">
        <v>76</v>
      </c>
      <c r="D90" s="12">
        <v>4</v>
      </c>
      <c r="E90" s="12">
        <v>0.625</v>
      </c>
      <c r="F90" s="12">
        <v>9</v>
      </c>
      <c r="G90" s="12" t="s">
        <v>59</v>
      </c>
      <c r="H90" s="12" t="s">
        <v>77</v>
      </c>
      <c r="I90" s="12">
        <v>4.375</v>
      </c>
      <c r="J90" s="12">
        <v>8.375</v>
      </c>
      <c r="K90" s="12">
        <v>4.375</v>
      </c>
      <c r="L90" s="12">
        <v>8.375</v>
      </c>
      <c r="M90" s="12"/>
      <c r="N90" s="34">
        <f t="shared" si="1"/>
        <v>40.05530633326986</v>
      </c>
      <c r="O90" s="12" t="s">
        <v>69</v>
      </c>
      <c r="P90" s="12">
        <v>29</v>
      </c>
      <c r="Q90" s="10" t="s">
        <v>74</v>
      </c>
      <c r="R90" s="12">
        <v>0</v>
      </c>
    </row>
    <row r="91" spans="1:18" s="12" customFormat="1" ht="12.75" hidden="1">
      <c r="A91" s="10" t="str">
        <f t="shared" si="2"/>
        <v>30) Flat Face Quick Connect for 4" Jamesbury Ball Valve w/ Full Face Gasket</v>
      </c>
      <c r="B91" s="35" t="s">
        <v>79</v>
      </c>
      <c r="C91" s="12" t="s">
        <v>76</v>
      </c>
      <c r="D91" s="12">
        <v>4</v>
      </c>
      <c r="E91" s="12">
        <v>0.625</v>
      </c>
      <c r="F91" s="12">
        <v>9</v>
      </c>
      <c r="G91" s="12" t="s">
        <v>59</v>
      </c>
      <c r="H91" s="12" t="s">
        <v>80</v>
      </c>
      <c r="I91" s="12">
        <v>3.75</v>
      </c>
      <c r="J91" s="12">
        <v>10.5</v>
      </c>
      <c r="K91" s="12">
        <v>3.75</v>
      </c>
      <c r="L91" s="12">
        <v>10.5</v>
      </c>
      <c r="M91" s="12">
        <f>21/32</f>
        <v>0.65625</v>
      </c>
      <c r="N91" s="34">
        <f t="shared" si="1"/>
        <v>74.19251478687693</v>
      </c>
      <c r="O91" s="12" t="s">
        <v>69</v>
      </c>
      <c r="P91" s="12">
        <v>30</v>
      </c>
      <c r="Q91" s="10" t="s">
        <v>78</v>
      </c>
      <c r="R91" s="12">
        <v>0</v>
      </c>
    </row>
    <row r="92" spans="1:18" ht="12.75" hidden="1">
      <c r="A92" s="10" t="str">
        <f t="shared" si="2"/>
        <v>31) Raised Face Quick Connect for 4" Jamesbury Ball Valve w/ Full Face Gasket</v>
      </c>
      <c r="B92" s="35" t="s">
        <v>82</v>
      </c>
      <c r="C92" s="12" t="s">
        <v>76</v>
      </c>
      <c r="D92" s="12">
        <v>4</v>
      </c>
      <c r="E92" s="12">
        <v>0.625</v>
      </c>
      <c r="F92" s="12">
        <v>9</v>
      </c>
      <c r="G92" s="12" t="s">
        <v>59</v>
      </c>
      <c r="H92" s="12" t="s">
        <v>83</v>
      </c>
      <c r="I92" s="12">
        <v>6.5</v>
      </c>
      <c r="J92" s="12">
        <v>10.5</v>
      </c>
      <c r="K92" s="12">
        <v>6.5</v>
      </c>
      <c r="L92" s="12">
        <v>10.5</v>
      </c>
      <c r="M92" s="12">
        <v>0.6875</v>
      </c>
      <c r="N92" s="34">
        <f t="shared" si="1"/>
        <v>51.922181708353186</v>
      </c>
      <c r="O92" s="12" t="s">
        <v>69</v>
      </c>
      <c r="P92" s="12">
        <v>31</v>
      </c>
      <c r="Q92" s="10" t="s">
        <v>81</v>
      </c>
      <c r="R92" s="12">
        <v>0</v>
      </c>
    </row>
    <row r="93" spans="1:18" ht="12.75" hidden="1">
      <c r="A93" s="10" t="str">
        <f t="shared" si="2"/>
        <v>32) Standard Downleg for 6" Jamesbury Wafersphere</v>
      </c>
      <c r="B93" s="12" t="s">
        <v>67</v>
      </c>
      <c r="C93" s="12"/>
      <c r="D93" s="12">
        <v>4</v>
      </c>
      <c r="E93" s="12">
        <v>0.625</v>
      </c>
      <c r="F93" s="12">
        <v>9.5</v>
      </c>
      <c r="G93" s="12" t="s">
        <v>59</v>
      </c>
      <c r="H93" s="12" t="s">
        <v>68</v>
      </c>
      <c r="I93" s="12">
        <v>6.5</v>
      </c>
      <c r="J93" s="12">
        <v>8.25</v>
      </c>
      <c r="K93" s="12">
        <v>6.5</v>
      </c>
      <c r="L93" s="12">
        <v>8.25</v>
      </c>
      <c r="M93" s="12"/>
      <c r="N93" s="34">
        <f t="shared" si="1"/>
        <v>20.273090092696634</v>
      </c>
      <c r="O93" s="12" t="s">
        <v>69</v>
      </c>
      <c r="P93" s="12">
        <v>32</v>
      </c>
      <c r="Q93" s="10" t="s">
        <v>138</v>
      </c>
      <c r="R93" s="12">
        <v>0</v>
      </c>
    </row>
    <row r="94" spans="1:18" ht="12.75" hidden="1">
      <c r="A94" s="10" t="str">
        <f t="shared" si="2"/>
        <v>33) Quick Connect for 6" Jamesbury Wafer/Butterfly Valve</v>
      </c>
      <c r="B94" s="35" t="s">
        <v>96</v>
      </c>
      <c r="C94" s="12" t="s">
        <v>97</v>
      </c>
      <c r="D94" s="12">
        <v>4</v>
      </c>
      <c r="E94" s="12">
        <v>0.625</v>
      </c>
      <c r="F94" s="12">
        <v>9</v>
      </c>
      <c r="G94" s="12" t="s">
        <v>59</v>
      </c>
      <c r="H94" s="12" t="s">
        <v>98</v>
      </c>
      <c r="I94" s="12">
        <v>6.75</v>
      </c>
      <c r="J94" s="12">
        <v>8.5</v>
      </c>
      <c r="K94" s="12">
        <v>6.75</v>
      </c>
      <c r="L94" s="12">
        <v>8.5</v>
      </c>
      <c r="M94" s="12">
        <v>0.75</v>
      </c>
      <c r="N94" s="34">
        <f>(PI()/4)*(L94^2-K94^2)-D94*PI()*(M94/2)^2+(D94*PI()*0.75^2)/2</f>
        <v>22.72745935331366</v>
      </c>
      <c r="O94" s="12" t="s">
        <v>69</v>
      </c>
      <c r="P94" s="12">
        <v>33</v>
      </c>
      <c r="Q94" s="10" t="s">
        <v>95</v>
      </c>
      <c r="R94" s="12">
        <v>0</v>
      </c>
    </row>
    <row r="95" spans="1:18" ht="12.75" hidden="1">
      <c r="A95" s="10" t="str">
        <f t="shared" si="2"/>
        <v>34) Standard Downleg for 4" UT/Trinity Ball Valve</v>
      </c>
      <c r="B95" s="12" t="s">
        <v>71</v>
      </c>
      <c r="C95" s="12" t="s">
        <v>72</v>
      </c>
      <c r="D95" s="12">
        <v>4</v>
      </c>
      <c r="E95" s="12">
        <v>0.625</v>
      </c>
      <c r="F95" s="12">
        <v>7.75</v>
      </c>
      <c r="G95" s="12" t="s">
        <v>59</v>
      </c>
      <c r="H95" s="12" t="s">
        <v>73</v>
      </c>
      <c r="I95" s="12">
        <v>4.375</v>
      </c>
      <c r="J95" s="12">
        <v>7.125</v>
      </c>
      <c r="K95" s="12">
        <v>4.375</v>
      </c>
      <c r="L95" s="12">
        <v>7.125</v>
      </c>
      <c r="M95" s="12"/>
      <c r="N95" s="34">
        <f aca="true" t="shared" si="3" ref="N95:N101">(PI()/4)*(L95^2-K95^2)-D95*PI()*(M95/2)^2</f>
        <v>24.838216917444303</v>
      </c>
      <c r="O95" s="12" t="s">
        <v>69</v>
      </c>
      <c r="P95" s="12">
        <v>34</v>
      </c>
      <c r="Q95" s="10" t="s">
        <v>70</v>
      </c>
      <c r="R95" s="12">
        <v>0</v>
      </c>
    </row>
    <row r="96" spans="1:18" ht="12.75" hidden="1">
      <c r="A96" s="10" t="str">
        <f t="shared" si="2"/>
        <v>35) Round Flange 3" Reducing Quick Connect for 4" UT/Trinity Ball Valve w/ Full Face Gasket</v>
      </c>
      <c r="B96" s="35" t="s">
        <v>86</v>
      </c>
      <c r="C96" s="12" t="s">
        <v>72</v>
      </c>
      <c r="D96" s="12">
        <v>4</v>
      </c>
      <c r="E96" s="12">
        <v>0.625</v>
      </c>
      <c r="F96" s="12">
        <v>7.75</v>
      </c>
      <c r="G96" s="12" t="s">
        <v>59</v>
      </c>
      <c r="H96" s="12" t="s">
        <v>87</v>
      </c>
      <c r="I96" s="12">
        <v>3.875</v>
      </c>
      <c r="J96" s="12">
        <v>9</v>
      </c>
      <c r="K96" s="12">
        <v>3.875</v>
      </c>
      <c r="L96" s="12">
        <v>9</v>
      </c>
      <c r="M96" s="12">
        <v>0.6875</v>
      </c>
      <c r="N96" s="34">
        <f t="shared" si="3"/>
        <v>50.3391135352552</v>
      </c>
      <c r="O96" s="12" t="s">
        <v>69</v>
      </c>
      <c r="P96" s="12">
        <v>35</v>
      </c>
      <c r="Q96" s="10" t="s">
        <v>166</v>
      </c>
      <c r="R96" s="12">
        <v>0</v>
      </c>
    </row>
    <row r="97" spans="1:18" ht="12.75" hidden="1">
      <c r="A97" s="10" t="str">
        <f t="shared" si="2"/>
        <v>36) Round Iron Flange Quick Connect for 4" UT/Trinity Ball Valve w/ Full Face Gasket</v>
      </c>
      <c r="B97" s="35" t="s">
        <v>84</v>
      </c>
      <c r="C97" s="12" t="s">
        <v>72</v>
      </c>
      <c r="D97" s="12">
        <v>4</v>
      </c>
      <c r="E97" s="12">
        <v>0.625</v>
      </c>
      <c r="F97" s="12">
        <v>7.75</v>
      </c>
      <c r="G97" s="12" t="s">
        <v>59</v>
      </c>
      <c r="H97" s="12" t="s">
        <v>85</v>
      </c>
      <c r="I97" s="12">
        <v>4.1875</v>
      </c>
      <c r="J97" s="12">
        <v>9</v>
      </c>
      <c r="K97" s="12">
        <v>4.1875</v>
      </c>
      <c r="L97" s="12">
        <v>9</v>
      </c>
      <c r="M97" s="12">
        <v>0.6875</v>
      </c>
      <c r="N97" s="34">
        <f t="shared" si="3"/>
        <v>48.36027831888272</v>
      </c>
      <c r="O97" s="12" t="s">
        <v>69</v>
      </c>
      <c r="P97" s="12">
        <v>36</v>
      </c>
      <c r="Q97" s="10" t="s">
        <v>161</v>
      </c>
      <c r="R97" s="12">
        <v>0</v>
      </c>
    </row>
    <row r="98" spans="1:18" ht="12.75" hidden="1">
      <c r="A98" s="10" t="str">
        <f t="shared" si="2"/>
        <v>37) Round Iron Flange Threaded Quick Connect for 4" UT/Trinity Ball Valve w/ Ring Gasket</v>
      </c>
      <c r="B98" s="35" t="s">
        <v>94</v>
      </c>
      <c r="C98" s="12" t="s">
        <v>72</v>
      </c>
      <c r="D98" s="12">
        <v>4</v>
      </c>
      <c r="E98" s="12">
        <v>0.625</v>
      </c>
      <c r="F98" s="12">
        <v>7.75</v>
      </c>
      <c r="G98" s="12" t="s">
        <v>59</v>
      </c>
      <c r="H98" s="12" t="s">
        <v>73</v>
      </c>
      <c r="I98" s="12">
        <v>4</v>
      </c>
      <c r="J98" s="12">
        <v>7.125</v>
      </c>
      <c r="K98" s="12">
        <v>4</v>
      </c>
      <c r="L98" s="12">
        <v>7.125</v>
      </c>
      <c r="M98" s="12"/>
      <c r="N98" s="34">
        <f t="shared" si="3"/>
        <v>27.304858024364414</v>
      </c>
      <c r="O98" s="12" t="s">
        <v>69</v>
      </c>
      <c r="P98" s="12">
        <v>37</v>
      </c>
      <c r="Q98" s="10" t="s">
        <v>165</v>
      </c>
      <c r="R98" s="12">
        <v>0</v>
      </c>
    </row>
    <row r="99" spans="1:18" ht="12.75" hidden="1">
      <c r="A99" s="10" t="str">
        <f t="shared" si="2"/>
        <v>38) Round SS Flange Kammed Quick Connect for 4" UT/Trinity Ball Valve w/ Ring Gasket</v>
      </c>
      <c r="B99" s="35" t="s">
        <v>91</v>
      </c>
      <c r="C99" s="12" t="s">
        <v>72</v>
      </c>
      <c r="D99" s="12">
        <v>4</v>
      </c>
      <c r="E99" s="12">
        <v>0.625</v>
      </c>
      <c r="F99" s="12">
        <v>7.75</v>
      </c>
      <c r="G99" s="12" t="s">
        <v>59</v>
      </c>
      <c r="H99" s="12" t="s">
        <v>73</v>
      </c>
      <c r="I99" s="12">
        <v>4.75</v>
      </c>
      <c r="J99" s="12">
        <v>7.125</v>
      </c>
      <c r="K99" s="12">
        <v>4.75</v>
      </c>
      <c r="L99" s="12">
        <v>7.125</v>
      </c>
      <c r="M99" s="12"/>
      <c r="N99" s="34">
        <f t="shared" si="3"/>
        <v>22.150682577068658</v>
      </c>
      <c r="O99" s="12" t="s">
        <v>69</v>
      </c>
      <c r="P99" s="12">
        <v>38</v>
      </c>
      <c r="Q99" s="10" t="s">
        <v>163</v>
      </c>
      <c r="R99" s="12">
        <v>0</v>
      </c>
    </row>
    <row r="100" spans="1:18" ht="12.75" hidden="1">
      <c r="A100" s="10" t="str">
        <f t="shared" si="2"/>
        <v>39) Round SS Flange Quick Connect for 4" UT/Trinity Ball Valve w/ Full Face Gasket</v>
      </c>
      <c r="B100" s="35" t="s">
        <v>88</v>
      </c>
      <c r="C100" s="12" t="s">
        <v>72</v>
      </c>
      <c r="D100" s="12">
        <v>4</v>
      </c>
      <c r="E100" s="12">
        <v>0.625</v>
      </c>
      <c r="F100" s="12">
        <v>7.75</v>
      </c>
      <c r="G100" s="12" t="s">
        <v>89</v>
      </c>
      <c r="H100" s="12" t="s">
        <v>90</v>
      </c>
      <c r="I100" s="12">
        <v>4.875</v>
      </c>
      <c r="J100" s="12">
        <v>9.125</v>
      </c>
      <c r="K100" s="12">
        <v>4.875</v>
      </c>
      <c r="L100" s="12">
        <v>9.125</v>
      </c>
      <c r="M100" s="12">
        <v>0.6875</v>
      </c>
      <c r="N100" s="34">
        <f t="shared" si="3"/>
        <v>45.24629731947487</v>
      </c>
      <c r="O100" s="12" t="s">
        <v>69</v>
      </c>
      <c r="P100" s="12">
        <v>39</v>
      </c>
      <c r="Q100" s="10" t="s">
        <v>162</v>
      </c>
      <c r="R100" s="12">
        <v>0</v>
      </c>
    </row>
    <row r="101" spans="1:18" ht="12.75" hidden="1">
      <c r="A101" s="10" t="str">
        <f t="shared" si="2"/>
        <v>40) Round SS Flange Threaded Quick Connect for 4" UT/Trinity Ball Valve w/ Ring Gasket</v>
      </c>
      <c r="B101" s="35" t="s">
        <v>92</v>
      </c>
      <c r="C101" s="12" t="s">
        <v>72</v>
      </c>
      <c r="D101" s="12">
        <v>4</v>
      </c>
      <c r="E101" s="12">
        <v>0.625</v>
      </c>
      <c r="F101" s="12">
        <v>7.75</v>
      </c>
      <c r="G101" s="12" t="s">
        <v>59</v>
      </c>
      <c r="H101" s="12" t="s">
        <v>93</v>
      </c>
      <c r="I101" s="12">
        <v>4</v>
      </c>
      <c r="J101" s="12">
        <v>6.75</v>
      </c>
      <c r="K101" s="12">
        <v>4</v>
      </c>
      <c r="L101" s="12">
        <v>6.75</v>
      </c>
      <c r="M101" s="12"/>
      <c r="N101" s="34">
        <f t="shared" si="3"/>
        <v>23.218333205437066</v>
      </c>
      <c r="O101" s="12" t="s">
        <v>69</v>
      </c>
      <c r="P101" s="12">
        <v>40</v>
      </c>
      <c r="Q101" s="10" t="s">
        <v>164</v>
      </c>
      <c r="R101" s="12">
        <v>0</v>
      </c>
    </row>
    <row r="102" ht="12.75" hidden="1"/>
    <row r="103" ht="12.75" hidden="1"/>
    <row r="104" ht="12.75" hidden="1"/>
    <row r="105" ht="12.75" hidden="1"/>
    <row r="106" ht="12.75" hidden="1"/>
    <row r="107" ht="12.75" hidden="1"/>
  </sheetData>
  <sheetProtection password="C612" sheet="1" objects="1" scenarios="1"/>
  <mergeCells count="11">
    <mergeCell ref="B20:C21"/>
    <mergeCell ref="B22:C23"/>
    <mergeCell ref="B26:C27"/>
    <mergeCell ref="D9:G11"/>
    <mergeCell ref="B5:G6"/>
    <mergeCell ref="B46:G48"/>
    <mergeCell ref="D22:G23"/>
    <mergeCell ref="D20:G21"/>
    <mergeCell ref="B42:F43"/>
    <mergeCell ref="B36:F37"/>
    <mergeCell ref="D26:G27"/>
  </mergeCells>
  <conditionalFormatting sqref="G36:G37">
    <cfRule type="cellIs" priority="1" dxfId="33" operator="greaterThan" stopIfTrue="1">
      <formula>"Gasket"</formula>
    </cfRule>
  </conditionalFormatting>
  <conditionalFormatting sqref="G42:G45 C45:F45">
    <cfRule type="cellIs" priority="2" dxfId="33" operator="greaterThan" stopIfTrue="1">
      <formula>"bolt"</formula>
    </cfRule>
  </conditionalFormatting>
  <conditionalFormatting sqref="B36:F37 B42:F44">
    <cfRule type="cellIs" priority="3" dxfId="34" operator="greaterThan" stopIfTrue="1">
      <formula>"bolt"</formula>
    </cfRule>
  </conditionalFormatting>
  <conditionalFormatting sqref="B46:G48">
    <cfRule type="cellIs" priority="4" dxfId="34" operator="greaterThan" stopIfTrue="1">
      <formula>"it"</formula>
    </cfRule>
  </conditionalFormatting>
  <conditionalFormatting sqref="I62:L101">
    <cfRule type="cellIs" priority="5" dxfId="28" operator="equal" stopIfTrue="1">
      <formula>0</formula>
    </cfRule>
  </conditionalFormatting>
  <dataValidations count="4">
    <dataValidation allowBlank="1" showInputMessage="1" showErrorMessage="1" promptTitle="Suggested &quot;k&quot; Factor Values:" prompt="Lubricated bolt with washers: 0.16&#10;&#10;Lubricated bolt without washers: 0.19&#10;&#10;Unlubricated bolt with washers: 0.25&#10;&#10;Unlubricated bolt without washers: 0.36" sqref="D29"/>
    <dataValidation type="list" allowBlank="1" showInputMessage="1" showErrorMessage="1" sqref="D9">
      <formula1>Applications</formula1>
    </dataValidation>
    <dataValidation type="list" allowBlank="1" showInputMessage="1" showErrorMessage="1" sqref="D20:G21">
      <formula1>Gasket_Material</formula1>
    </dataValidation>
    <dataValidation type="list" allowBlank="1" showInputMessage="1" showErrorMessage="1" sqref="D26:G27">
      <formula1>Bolt_Grade</formula1>
    </dataValidation>
  </dataValidations>
  <printOptions horizontalCentered="1" verticalCentered="1"/>
  <pageMargins left="0.75" right="0.75" top="1" bottom="1" header="0.5" footer="0.5"/>
  <pageSetup horizontalDpi="96" verticalDpi="96" orientation="portrait" r:id="rId2"/>
  <drawing r:id="rId1"/>
</worksheet>
</file>

<file path=xl/worksheets/sheet3.xml><?xml version="1.0" encoding="utf-8"?>
<worksheet xmlns="http://schemas.openxmlformats.org/spreadsheetml/2006/main" xmlns:r="http://schemas.openxmlformats.org/officeDocument/2006/relationships">
  <sheetPr codeName="Sheet5"/>
  <dimension ref="A1:Q64"/>
  <sheetViews>
    <sheetView zoomScalePageLayoutView="0" workbookViewId="0" topLeftCell="A1">
      <selection activeCell="D8" sqref="D8:H9"/>
    </sheetView>
  </sheetViews>
  <sheetFormatPr defaultColWidth="0" defaultRowHeight="12.75" zeroHeight="1"/>
  <cols>
    <col min="1" max="1" width="12.7109375" style="9" customWidth="1"/>
    <col min="2" max="5" width="9.140625" style="9" customWidth="1"/>
    <col min="6" max="6" width="7.7109375" style="9" customWidth="1"/>
    <col min="7" max="9" width="9.140625" style="9" customWidth="1"/>
    <col min="10" max="23" width="9.28125" style="9" hidden="1" customWidth="1"/>
    <col min="24" max="16384" width="9.140625" style="9" hidden="1" customWidth="1"/>
  </cols>
  <sheetData>
    <row r="1" spans="1:9" ht="12.75">
      <c r="A1" s="7"/>
      <c r="B1" s="7"/>
      <c r="C1" s="7"/>
      <c r="D1" s="7"/>
      <c r="E1" s="7"/>
      <c r="F1" s="7"/>
      <c r="G1" s="7"/>
      <c r="H1" s="8"/>
      <c r="I1" s="7"/>
    </row>
    <row r="2" spans="1:9" ht="25.5">
      <c r="A2" s="7"/>
      <c r="B2" s="7"/>
      <c r="C2" s="7"/>
      <c r="E2" s="7"/>
      <c r="G2" s="107"/>
      <c r="H2" s="107"/>
      <c r="I2" s="7"/>
    </row>
    <row r="3" spans="1:9" ht="25.5">
      <c r="A3" s="7"/>
      <c r="B3" s="7"/>
      <c r="C3" s="7"/>
      <c r="D3" s="7"/>
      <c r="E3" s="7"/>
      <c r="F3" s="107"/>
      <c r="G3" s="107"/>
      <c r="H3" s="107"/>
      <c r="I3" s="7"/>
    </row>
    <row r="4" spans="1:9" ht="15" customHeight="1">
      <c r="A4" s="7"/>
      <c r="B4" s="7"/>
      <c r="C4" s="7"/>
      <c r="D4" s="7"/>
      <c r="F4" s="107"/>
      <c r="G4" s="107"/>
      <c r="H4" s="107"/>
      <c r="I4" s="7"/>
    </row>
    <row r="5" spans="1:9" ht="26.25">
      <c r="A5" s="148" t="s">
        <v>191</v>
      </c>
      <c r="B5" s="149"/>
      <c r="C5" s="149"/>
      <c r="D5" s="149"/>
      <c r="E5" s="149"/>
      <c r="F5" s="149"/>
      <c r="G5" s="149"/>
      <c r="H5" s="149"/>
      <c r="I5" s="149"/>
    </row>
    <row r="6" spans="1:9" ht="12.75">
      <c r="A6" s="7"/>
      <c r="B6" s="7"/>
      <c r="C6" s="7"/>
      <c r="D6" s="7"/>
      <c r="E6" s="7"/>
      <c r="F6" s="7"/>
      <c r="G6" s="7"/>
      <c r="H6" s="8"/>
      <c r="I6" s="7"/>
    </row>
    <row r="7" spans="1:9" s="61" customFormat="1" ht="12.75" customHeight="1">
      <c r="A7" s="76"/>
      <c r="B7" s="76"/>
      <c r="C7" s="77"/>
      <c r="D7" s="77"/>
      <c r="E7" s="77"/>
      <c r="F7" s="77"/>
      <c r="G7" s="77"/>
      <c r="H7" s="76"/>
      <c r="I7" s="76"/>
    </row>
    <row r="8" spans="1:9" s="61" customFormat="1" ht="18" customHeight="1">
      <c r="A8" s="154" t="s">
        <v>210</v>
      </c>
      <c r="B8" s="160"/>
      <c r="C8" s="160"/>
      <c r="D8" s="161"/>
      <c r="E8" s="162"/>
      <c r="F8" s="162"/>
      <c r="G8" s="162"/>
      <c r="H8" s="162"/>
      <c r="I8" s="76"/>
    </row>
    <row r="9" spans="1:9" s="61" customFormat="1" ht="18">
      <c r="A9" s="160"/>
      <c r="B9" s="160"/>
      <c r="C9" s="160"/>
      <c r="D9" s="162"/>
      <c r="E9" s="162"/>
      <c r="F9" s="162"/>
      <c r="G9" s="162"/>
      <c r="H9" s="162"/>
      <c r="I9" s="76"/>
    </row>
    <row r="10" spans="1:9" s="61" customFormat="1" ht="9" customHeight="1">
      <c r="A10" s="76"/>
      <c r="B10" s="76"/>
      <c r="C10" s="78"/>
      <c r="D10" s="77"/>
      <c r="E10" s="81"/>
      <c r="F10" s="81"/>
      <c r="G10" s="81"/>
      <c r="H10" s="81"/>
      <c r="I10" s="76"/>
    </row>
    <row r="11" spans="1:9" s="61" customFormat="1" ht="18">
      <c r="A11" s="76"/>
      <c r="B11" s="76"/>
      <c r="C11" s="78" t="s">
        <v>209</v>
      </c>
      <c r="D11" s="158"/>
      <c r="E11" s="159"/>
      <c r="F11" s="159"/>
      <c r="G11" s="159"/>
      <c r="H11" s="159"/>
      <c r="I11" s="76"/>
    </row>
    <row r="12" spans="1:9" s="61" customFormat="1" ht="9" customHeight="1">
      <c r="A12" s="76"/>
      <c r="B12" s="76"/>
      <c r="C12" s="78"/>
      <c r="D12" s="77"/>
      <c r="E12" s="81"/>
      <c r="F12" s="81"/>
      <c r="G12" s="81"/>
      <c r="H12" s="81"/>
      <c r="I12" s="76"/>
    </row>
    <row r="13" spans="1:9" s="61" customFormat="1" ht="18">
      <c r="A13" s="154" t="s">
        <v>211</v>
      </c>
      <c r="B13" s="155"/>
      <c r="C13" s="155"/>
      <c r="D13" s="157"/>
      <c r="E13" s="157"/>
      <c r="F13" s="157"/>
      <c r="G13" s="157"/>
      <c r="H13" s="157"/>
      <c r="I13" s="76"/>
    </row>
    <row r="14" spans="1:9" s="61" customFormat="1" ht="18">
      <c r="A14" s="155"/>
      <c r="B14" s="155"/>
      <c r="C14" s="155"/>
      <c r="D14" s="157"/>
      <c r="E14" s="157"/>
      <c r="F14" s="157"/>
      <c r="G14" s="157"/>
      <c r="H14" s="157"/>
      <c r="I14" s="76"/>
    </row>
    <row r="15" spans="1:9" s="61" customFormat="1" ht="9" customHeight="1">
      <c r="A15" s="32"/>
      <c r="B15" s="32"/>
      <c r="C15" s="32"/>
      <c r="D15" s="82"/>
      <c r="E15" s="82"/>
      <c r="F15" s="82"/>
      <c r="G15" s="82"/>
      <c r="H15" s="82"/>
      <c r="I15" s="76"/>
    </row>
    <row r="16" spans="1:9" s="61" customFormat="1" ht="18">
      <c r="A16" s="76"/>
      <c r="B16" s="76"/>
      <c r="C16" s="81"/>
      <c r="D16" s="152">
        <f>IF('Standard Applications'!D9=0,"",RIGHT('Standard Applications'!D9,LEN('Standard Applications'!D9)-FIND(")",'Standard Applications'!D9)-1))</f>
      </c>
      <c r="E16" s="153"/>
      <c r="F16" s="153"/>
      <c r="G16" s="153"/>
      <c r="H16" s="153"/>
      <c r="I16" s="76"/>
    </row>
    <row r="17" spans="1:12" s="61" customFormat="1" ht="18">
      <c r="A17" s="76"/>
      <c r="B17" s="81"/>
      <c r="C17" s="79" t="s">
        <v>11</v>
      </c>
      <c r="D17" s="153"/>
      <c r="E17" s="153"/>
      <c r="F17" s="153"/>
      <c r="G17" s="153"/>
      <c r="H17" s="153"/>
      <c r="I17" s="76"/>
      <c r="J17" s="62"/>
      <c r="K17" s="63"/>
      <c r="L17" s="64"/>
    </row>
    <row r="18" spans="1:12" s="61" customFormat="1" ht="18">
      <c r="A18" s="76"/>
      <c r="B18" s="83"/>
      <c r="C18" s="83"/>
      <c r="D18" s="153"/>
      <c r="E18" s="153"/>
      <c r="F18" s="153"/>
      <c r="G18" s="153"/>
      <c r="H18" s="153"/>
      <c r="I18" s="76"/>
      <c r="J18" s="62"/>
      <c r="K18" s="63"/>
      <c r="L18" s="64"/>
    </row>
    <row r="19" spans="1:12" s="61" customFormat="1" ht="9" customHeight="1">
      <c r="A19" s="76"/>
      <c r="B19" s="83"/>
      <c r="C19" s="83"/>
      <c r="D19" s="32"/>
      <c r="E19" s="32"/>
      <c r="F19" s="32"/>
      <c r="G19" s="32"/>
      <c r="H19" s="32"/>
      <c r="I19" s="76"/>
      <c r="J19" s="62"/>
      <c r="K19" s="63"/>
      <c r="L19" s="64"/>
    </row>
    <row r="20" spans="1:12" s="61" customFormat="1" ht="18" customHeight="1">
      <c r="A20" s="154" t="s">
        <v>215</v>
      </c>
      <c r="B20" s="155"/>
      <c r="C20" s="155"/>
      <c r="D20" s="152">
        <f>IF('Standard Applications'!D26=0,"",'Standard Applications'!D26)</f>
      </c>
      <c r="E20" s="156"/>
      <c r="F20" s="156"/>
      <c r="G20" s="156"/>
      <c r="H20" s="156"/>
      <c r="I20" s="76"/>
      <c r="J20" s="62"/>
      <c r="K20" s="63"/>
      <c r="L20" s="64"/>
    </row>
    <row r="21" spans="1:12" s="61" customFormat="1" ht="18">
      <c r="A21" s="155"/>
      <c r="B21" s="155"/>
      <c r="C21" s="155"/>
      <c r="D21" s="156"/>
      <c r="E21" s="156"/>
      <c r="F21" s="156"/>
      <c r="G21" s="156"/>
      <c r="H21" s="156"/>
      <c r="I21" s="76"/>
      <c r="J21" s="62"/>
      <c r="K21" s="63"/>
      <c r="L21" s="64"/>
    </row>
    <row r="22" spans="1:12" s="61" customFormat="1" ht="9" customHeight="1">
      <c r="A22" s="76"/>
      <c r="B22" s="83"/>
      <c r="C22" s="83"/>
      <c r="D22" s="32"/>
      <c r="E22" s="32"/>
      <c r="F22" s="32"/>
      <c r="G22" s="32"/>
      <c r="H22" s="32"/>
      <c r="I22" s="76"/>
      <c r="J22" s="62"/>
      <c r="K22" s="63"/>
      <c r="L22" s="64"/>
    </row>
    <row r="23" spans="1:12" s="61" customFormat="1" ht="18" customHeight="1">
      <c r="A23" s="154" t="s">
        <v>207</v>
      </c>
      <c r="B23" s="155"/>
      <c r="C23" s="155"/>
      <c r="D23" s="152">
        <f>IF('Standard Applications'!D20=0,"",'Standard Applications'!D20)</f>
      </c>
      <c r="E23" s="156"/>
      <c r="F23" s="156"/>
      <c r="G23" s="156"/>
      <c r="H23" s="156"/>
      <c r="I23" s="76"/>
      <c r="J23" s="62"/>
      <c r="K23" s="63"/>
      <c r="L23" s="64"/>
    </row>
    <row r="24" spans="1:12" s="61" customFormat="1" ht="18">
      <c r="A24" s="155"/>
      <c r="B24" s="155"/>
      <c r="C24" s="155"/>
      <c r="D24" s="156"/>
      <c r="E24" s="156"/>
      <c r="F24" s="156"/>
      <c r="G24" s="156"/>
      <c r="H24" s="156"/>
      <c r="I24" s="76"/>
      <c r="J24" s="62"/>
      <c r="K24" s="63"/>
      <c r="L24" s="64"/>
    </row>
    <row r="25" spans="1:12" s="61" customFormat="1" ht="9" customHeight="1">
      <c r="A25" s="32"/>
      <c r="B25" s="32"/>
      <c r="C25" s="32"/>
      <c r="D25" s="84"/>
      <c r="E25" s="84"/>
      <c r="F25" s="84"/>
      <c r="G25" s="84"/>
      <c r="H25" s="84"/>
      <c r="I25" s="76"/>
      <c r="J25" s="62"/>
      <c r="K25" s="63"/>
      <c r="L25" s="64"/>
    </row>
    <row r="26" spans="1:12" s="61" customFormat="1" ht="18">
      <c r="A26" s="154" t="s">
        <v>208</v>
      </c>
      <c r="B26" s="155"/>
      <c r="C26" s="155"/>
      <c r="D26" s="157"/>
      <c r="E26" s="157"/>
      <c r="F26" s="157"/>
      <c r="G26" s="157"/>
      <c r="H26" s="157"/>
      <c r="I26" s="76"/>
      <c r="J26" s="62"/>
      <c r="K26" s="63"/>
      <c r="L26" s="64"/>
    </row>
    <row r="27" spans="1:12" s="61" customFormat="1" ht="18">
      <c r="A27" s="155"/>
      <c r="B27" s="155"/>
      <c r="C27" s="155"/>
      <c r="D27" s="157"/>
      <c r="E27" s="157"/>
      <c r="F27" s="157"/>
      <c r="G27" s="157"/>
      <c r="H27" s="157"/>
      <c r="I27" s="76"/>
      <c r="J27" s="62"/>
      <c r="K27" s="63"/>
      <c r="L27" s="64"/>
    </row>
    <row r="28" spans="1:12" s="61" customFormat="1" ht="9" customHeight="1">
      <c r="A28" s="76"/>
      <c r="B28" s="76"/>
      <c r="C28" s="76"/>
      <c r="D28" s="76"/>
      <c r="E28" s="76"/>
      <c r="F28" s="76"/>
      <c r="G28" s="76"/>
      <c r="H28" s="76"/>
      <c r="I28" s="80"/>
      <c r="J28" s="62"/>
      <c r="K28" s="63"/>
      <c r="L28" s="64"/>
    </row>
    <row r="29" spans="1:9" s="61" customFormat="1" ht="18">
      <c r="A29" s="76"/>
      <c r="B29" s="76"/>
      <c r="C29" s="76"/>
      <c r="D29" s="76"/>
      <c r="E29" s="78" t="s">
        <v>213</v>
      </c>
      <c r="F29" s="94" t="e">
        <f>('Standard Applications'!D32+'Standard Applications'!D38)/2*1/3</f>
        <v>#VALUE!</v>
      </c>
      <c r="G29" s="95" t="s">
        <v>160</v>
      </c>
      <c r="H29" s="76"/>
      <c r="I29" s="80"/>
    </row>
    <row r="30" spans="1:9" s="61" customFormat="1" ht="18">
      <c r="A30" s="76"/>
      <c r="B30" s="76"/>
      <c r="C30" s="76"/>
      <c r="D30" s="76"/>
      <c r="E30" s="78" t="s">
        <v>214</v>
      </c>
      <c r="F30" s="94" t="e">
        <f>('Standard Applications'!D32+'Standard Applications'!D38)/2*2/3</f>
        <v>#VALUE!</v>
      </c>
      <c r="G30" s="95" t="s">
        <v>160</v>
      </c>
      <c r="H30" s="76"/>
      <c r="I30" s="80"/>
    </row>
    <row r="31" spans="1:13" s="61" customFormat="1" ht="18">
      <c r="A31" s="76"/>
      <c r="B31" s="76"/>
      <c r="C31" s="76"/>
      <c r="D31" s="76"/>
      <c r="E31" s="78" t="s">
        <v>212</v>
      </c>
      <c r="F31" s="94" t="e">
        <f>('Standard Applications'!D32+'Standard Applications'!D38)/2</f>
        <v>#VALUE!</v>
      </c>
      <c r="G31" s="95" t="s">
        <v>160</v>
      </c>
      <c r="H31" s="76"/>
      <c r="I31" s="76"/>
      <c r="J31" s="64"/>
      <c r="K31" s="62"/>
      <c r="L31" s="64"/>
      <c r="M31" s="64"/>
    </row>
    <row r="32" spans="1:13" s="61" customFormat="1" ht="9" customHeight="1">
      <c r="A32" s="76"/>
      <c r="B32" s="76"/>
      <c r="C32" s="76"/>
      <c r="D32" s="76"/>
      <c r="E32" s="80"/>
      <c r="F32" s="80"/>
      <c r="G32" s="80"/>
      <c r="H32" s="76"/>
      <c r="I32" s="76"/>
      <c r="J32" s="66"/>
      <c r="K32" s="62"/>
      <c r="L32" s="67"/>
      <c r="M32" s="64"/>
    </row>
    <row r="33" spans="1:12" s="61" customFormat="1" ht="18">
      <c r="A33" s="76"/>
      <c r="B33" s="150">
        <f>'Standard Applications'!B46</f>
      </c>
      <c r="C33" s="151"/>
      <c r="D33" s="151"/>
      <c r="E33" s="151"/>
      <c r="F33" s="151"/>
      <c r="G33" s="151"/>
      <c r="H33" s="151"/>
      <c r="I33" s="76"/>
      <c r="K33" s="62"/>
      <c r="L33" s="68"/>
    </row>
    <row r="34" spans="1:12" s="61" customFormat="1" ht="18">
      <c r="A34" s="76"/>
      <c r="B34" s="151"/>
      <c r="C34" s="151"/>
      <c r="D34" s="151"/>
      <c r="E34" s="151"/>
      <c r="F34" s="151"/>
      <c r="G34" s="151"/>
      <c r="H34" s="151"/>
      <c r="I34" s="76"/>
      <c r="K34" s="62"/>
      <c r="L34" s="69"/>
    </row>
    <row r="35" spans="1:9" s="61" customFormat="1" ht="18">
      <c r="A35" s="76"/>
      <c r="B35" s="151"/>
      <c r="C35" s="151"/>
      <c r="D35" s="151"/>
      <c r="E35" s="151"/>
      <c r="F35" s="151"/>
      <c r="G35" s="151"/>
      <c r="H35" s="151"/>
      <c r="I35" s="76"/>
    </row>
    <row r="36" spans="1:12" s="61" customFormat="1" ht="18">
      <c r="A36" s="76"/>
      <c r="B36" s="76"/>
      <c r="C36" s="76"/>
      <c r="D36" s="76"/>
      <c r="E36" s="76"/>
      <c r="F36" s="76"/>
      <c r="G36" s="76"/>
      <c r="H36" s="76"/>
      <c r="I36" s="76"/>
      <c r="K36" s="62"/>
      <c r="L36" s="68"/>
    </row>
    <row r="37" spans="11:13" s="61" customFormat="1" ht="18" hidden="1">
      <c r="K37" s="62"/>
      <c r="L37" s="67"/>
      <c r="M37" s="64"/>
    </row>
    <row r="38" spans="11:13" s="61" customFormat="1" ht="18" hidden="1">
      <c r="K38" s="62"/>
      <c r="L38" s="70"/>
      <c r="M38" s="64"/>
    </row>
    <row r="39" spans="11:13" s="61" customFormat="1" ht="18" hidden="1">
      <c r="K39" s="62"/>
      <c r="L39" s="69"/>
      <c r="M39" s="71"/>
    </row>
    <row r="40" s="61" customFormat="1" ht="18" hidden="1"/>
    <row r="41" spans="11:13" s="61" customFormat="1" ht="18" hidden="1">
      <c r="K41" s="62"/>
      <c r="L41" s="64"/>
      <c r="M41" s="64"/>
    </row>
    <row r="42" spans="11:13" s="61" customFormat="1" ht="18" hidden="1">
      <c r="K42" s="62"/>
      <c r="L42" s="67"/>
      <c r="M42" s="64"/>
    </row>
    <row r="43" spans="3:17" s="61" customFormat="1" ht="18.75" hidden="1">
      <c r="C43" s="62"/>
      <c r="D43" s="65"/>
      <c r="F43" s="64"/>
      <c r="G43" s="64"/>
      <c r="K43" s="62"/>
      <c r="L43" s="68"/>
      <c r="N43" s="85"/>
      <c r="O43" s="85"/>
      <c r="P43" s="85"/>
      <c r="Q43" s="85"/>
    </row>
    <row r="44" spans="11:13" s="61" customFormat="1" ht="18" hidden="1">
      <c r="K44" s="62"/>
      <c r="L44" s="69"/>
      <c r="M44" s="71"/>
    </row>
    <row r="45" spans="6:7" s="61" customFormat="1" ht="18" hidden="1">
      <c r="F45" s="64"/>
      <c r="G45" s="64"/>
    </row>
    <row r="46" spans="11:12" s="61" customFormat="1" ht="12.75" customHeight="1" hidden="1">
      <c r="K46" s="62"/>
      <c r="L46" s="68"/>
    </row>
    <row r="47" spans="6:13" s="61" customFormat="1" ht="12.75" customHeight="1" hidden="1">
      <c r="F47" s="72"/>
      <c r="G47" s="73"/>
      <c r="K47" s="62"/>
      <c r="L47" s="67"/>
      <c r="M47" s="64"/>
    </row>
    <row r="48" spans="6:13" s="61" customFormat="1" ht="18" hidden="1">
      <c r="F48" s="72"/>
      <c r="G48" s="73"/>
      <c r="K48" s="62"/>
      <c r="L48" s="70"/>
      <c r="M48" s="64"/>
    </row>
    <row r="49" spans="3:12" s="61" customFormat="1" ht="18" hidden="1">
      <c r="C49" s="62"/>
      <c r="D49" s="65"/>
      <c r="K49" s="62"/>
      <c r="L49" s="69"/>
    </row>
    <row r="50" spans="3:4" s="61" customFormat="1" ht="18" hidden="1">
      <c r="C50" s="62"/>
      <c r="D50" s="68"/>
    </row>
    <row r="51" spans="3:4" s="61" customFormat="1" ht="18" hidden="1">
      <c r="C51" s="62"/>
      <c r="D51" s="68"/>
    </row>
    <row r="52" spans="3:4" s="61" customFormat="1" ht="12.75" customHeight="1" hidden="1">
      <c r="C52" s="62"/>
      <c r="D52" s="74"/>
    </row>
    <row r="53" spans="3:7" s="61" customFormat="1" ht="18" hidden="1">
      <c r="C53" s="64"/>
      <c r="D53" s="64"/>
      <c r="E53" s="64"/>
      <c r="F53" s="64"/>
      <c r="G53" s="75"/>
    </row>
    <row r="54" spans="3:7" s="61" customFormat="1" ht="18" hidden="1">
      <c r="C54" s="64"/>
      <c r="D54" s="64"/>
      <c r="E54" s="64"/>
      <c r="F54" s="64"/>
      <c r="G54" s="75"/>
    </row>
    <row r="55" spans="3:7" s="61" customFormat="1" ht="18" hidden="1">
      <c r="C55" s="73"/>
      <c r="D55" s="73"/>
      <c r="E55" s="73"/>
      <c r="F55" s="73"/>
      <c r="G55" s="73"/>
    </row>
    <row r="56" spans="3:7" ht="12.75" customHeight="1" hidden="1">
      <c r="C56" s="60"/>
      <c r="D56" s="60"/>
      <c r="E56" s="60"/>
      <c r="F56" s="60"/>
      <c r="G56" s="60"/>
    </row>
    <row r="57" spans="2:7" ht="12.75" hidden="1">
      <c r="B57" s="60"/>
      <c r="C57" s="60"/>
      <c r="D57" s="60"/>
      <c r="E57" s="60"/>
      <c r="F57" s="60"/>
      <c r="G57" s="60"/>
    </row>
    <row r="58" spans="2:15" ht="12.75" hidden="1">
      <c r="B58" s="60"/>
      <c r="C58" s="60"/>
      <c r="D58" s="60"/>
      <c r="E58" s="60"/>
      <c r="F58" s="60"/>
      <c r="G58" s="60"/>
      <c r="L58" s="12"/>
      <c r="M58" s="12"/>
      <c r="N58" s="12"/>
      <c r="O58" s="12"/>
    </row>
    <row r="59" spans="1:9" s="12" customFormat="1" ht="12.75" hidden="1">
      <c r="A59" s="9"/>
      <c r="B59" s="9"/>
      <c r="C59" s="9"/>
      <c r="D59" s="9"/>
      <c r="E59" s="9"/>
      <c r="F59" s="9"/>
      <c r="G59" s="9"/>
      <c r="H59" s="9"/>
      <c r="I59" s="59"/>
    </row>
    <row r="60" spans="1:9" s="12" customFormat="1" ht="12.75" hidden="1">
      <c r="A60" s="9"/>
      <c r="B60" s="59"/>
      <c r="C60" s="59"/>
      <c r="D60" s="59"/>
      <c r="E60" s="59"/>
      <c r="F60" s="59"/>
      <c r="G60" s="59"/>
      <c r="H60" s="59"/>
      <c r="I60" s="59"/>
    </row>
    <row r="61" spans="1:9" s="12" customFormat="1" ht="12.75" hidden="1">
      <c r="A61" s="9"/>
      <c r="B61" s="59"/>
      <c r="C61" s="59"/>
      <c r="D61" s="59"/>
      <c r="E61" s="59"/>
      <c r="F61" s="59"/>
      <c r="G61" s="59"/>
      <c r="H61" s="59"/>
      <c r="I61" s="59"/>
    </row>
    <row r="62" spans="1:11" s="12" customFormat="1" ht="12.75" hidden="1">
      <c r="A62" s="9"/>
      <c r="B62" s="9"/>
      <c r="C62" s="9"/>
      <c r="D62" s="9"/>
      <c r="E62" s="9"/>
      <c r="G62" s="9"/>
      <c r="H62" s="9"/>
      <c r="I62" s="9"/>
      <c r="J62" s="9"/>
      <c r="K62" s="9"/>
    </row>
    <row r="63" spans="1:11" s="12" customFormat="1" ht="12.75" hidden="1">
      <c r="A63" s="9"/>
      <c r="B63" s="9"/>
      <c r="C63" s="9"/>
      <c r="D63" s="9"/>
      <c r="E63" s="9"/>
      <c r="G63" s="9"/>
      <c r="H63" s="9"/>
      <c r="I63" s="9"/>
      <c r="J63" s="9"/>
      <c r="K63" s="9"/>
    </row>
    <row r="64" spans="1:11" s="12" customFormat="1" ht="12.75" hidden="1">
      <c r="A64" s="9"/>
      <c r="B64" s="9"/>
      <c r="C64" s="9"/>
      <c r="D64" s="9"/>
      <c r="E64" s="9"/>
      <c r="G64" s="9"/>
      <c r="H64" s="9"/>
      <c r="I64" s="9"/>
      <c r="J64" s="9"/>
      <c r="K64" s="9"/>
    </row>
    <row r="65" ht="12.75" hidden="1"/>
    <row r="66" ht="12.75" hidden="1"/>
    <row r="67" ht="12.75" hidden="1"/>
    <row r="68" ht="12.75"/>
  </sheetData>
  <sheetProtection password="C612" sheet="1" objects="1" scenarios="1"/>
  <mergeCells count="14">
    <mergeCell ref="D13:H14"/>
    <mergeCell ref="D11:H11"/>
    <mergeCell ref="A8:C9"/>
    <mergeCell ref="D8:H9"/>
    <mergeCell ref="A5:I5"/>
    <mergeCell ref="B33:H35"/>
    <mergeCell ref="D16:H18"/>
    <mergeCell ref="A20:C21"/>
    <mergeCell ref="D20:H21"/>
    <mergeCell ref="A23:C24"/>
    <mergeCell ref="D23:H24"/>
    <mergeCell ref="A26:C27"/>
    <mergeCell ref="D26:H27"/>
    <mergeCell ref="A13:C14"/>
  </mergeCells>
  <conditionalFormatting sqref="G47:G48">
    <cfRule type="cellIs" priority="1" dxfId="33" operator="greaterThan" stopIfTrue="1">
      <formula>"Gasket"</formula>
    </cfRule>
  </conditionalFormatting>
  <conditionalFormatting sqref="C53:G55 F47:F48">
    <cfRule type="cellIs" priority="2" dxfId="33" operator="greaterThan" stopIfTrue="1">
      <formula>"bolt"</formula>
    </cfRule>
  </conditionalFormatting>
  <conditionalFormatting sqref="C56:G58 B57:B58">
    <cfRule type="cellIs" priority="3" dxfId="33" operator="greaterThan" stopIfTrue="1">
      <formula>"it"</formula>
    </cfRule>
  </conditionalFormatting>
  <conditionalFormatting sqref="B33:H35">
    <cfRule type="cellIs" priority="4" dxfId="34" operator="greaterThan" stopIfTrue="1">
      <formula>"bolt"</formula>
    </cfRule>
  </conditionalFormatting>
  <printOptions horizontalCentered="1" verticalCentered="1"/>
  <pageMargins left="0.5" right="0.75" top="1" bottom="1" header="0.5" footer="0.5"/>
  <pageSetup horizontalDpi="96" verticalDpi="96" orientation="portrait" r:id="rId2"/>
  <drawing r:id="rId1"/>
</worksheet>
</file>

<file path=xl/worksheets/sheet4.xml><?xml version="1.0" encoding="utf-8"?>
<worksheet xmlns="http://schemas.openxmlformats.org/spreadsheetml/2006/main" xmlns:r="http://schemas.openxmlformats.org/officeDocument/2006/relationships">
  <sheetPr codeName="Sheet7"/>
  <dimension ref="A1:Y100"/>
  <sheetViews>
    <sheetView zoomScalePageLayoutView="0" workbookViewId="0" topLeftCell="A1">
      <selection activeCell="D8" sqref="D8:H9"/>
    </sheetView>
  </sheetViews>
  <sheetFormatPr defaultColWidth="0" defaultRowHeight="12.75" zeroHeight="1"/>
  <cols>
    <col min="1" max="8" width="9.00390625" style="9" customWidth="1"/>
    <col min="9" max="9" width="12.8515625" style="9" hidden="1" customWidth="1"/>
    <col min="10" max="10" width="13.00390625" style="9" hidden="1" customWidth="1"/>
    <col min="11" max="11" width="10.421875" style="9" hidden="1" customWidth="1"/>
    <col min="12" max="12" width="10.7109375" style="9" hidden="1" customWidth="1"/>
    <col min="13" max="13" width="9.140625" style="9" hidden="1" customWidth="1"/>
    <col min="14" max="16384" width="10.7109375" style="9" hidden="1" customWidth="1"/>
  </cols>
  <sheetData>
    <row r="1" spans="1:8" ht="12.75">
      <c r="A1" s="7"/>
      <c r="B1" s="7"/>
      <c r="C1" s="7"/>
      <c r="D1" s="7"/>
      <c r="E1" s="7"/>
      <c r="F1" s="7"/>
      <c r="G1" s="8"/>
      <c r="H1" s="7"/>
    </row>
    <row r="2" spans="1:8" ht="12.75">
      <c r="A2" s="7"/>
      <c r="B2" s="7"/>
      <c r="C2" s="7"/>
      <c r="D2" s="7"/>
      <c r="F2" s="106"/>
      <c r="G2" s="106"/>
      <c r="H2" s="7"/>
    </row>
    <row r="3" spans="1:8" ht="12.75">
      <c r="A3" s="7"/>
      <c r="B3" s="7"/>
      <c r="C3" s="7"/>
      <c r="D3" s="7"/>
      <c r="E3" s="106"/>
      <c r="F3" s="106"/>
      <c r="G3" s="106"/>
      <c r="H3" s="7"/>
    </row>
    <row r="4" spans="1:8" ht="12.75">
      <c r="A4" s="7"/>
      <c r="B4" s="7"/>
      <c r="C4" s="7"/>
      <c r="D4" s="7"/>
      <c r="E4" s="106"/>
      <c r="F4" s="106"/>
      <c r="G4" s="106"/>
      <c r="H4" s="7"/>
    </row>
    <row r="5" spans="1:8" ht="12.75">
      <c r="A5" s="7"/>
      <c r="B5" s="137" t="s">
        <v>190</v>
      </c>
      <c r="C5" s="137"/>
      <c r="D5" s="137"/>
      <c r="E5" s="137"/>
      <c r="F5" s="137"/>
      <c r="G5" s="137"/>
      <c r="H5" s="7"/>
    </row>
    <row r="6" spans="2:8" ht="12.75">
      <c r="B6" s="137"/>
      <c r="C6" s="137"/>
      <c r="D6" s="137"/>
      <c r="E6" s="137"/>
      <c r="F6" s="137"/>
      <c r="G6" s="137"/>
      <c r="H6" s="7"/>
    </row>
    <row r="7" spans="1:8" ht="12.75">
      <c r="A7" s="7"/>
      <c r="B7" s="7"/>
      <c r="C7" s="7"/>
      <c r="D7" s="7"/>
      <c r="E7" s="7"/>
      <c r="F7" s="7"/>
      <c r="G7" s="8"/>
      <c r="H7" s="7"/>
    </row>
    <row r="8" spans="1:8" ht="12.75" customHeight="1">
      <c r="A8" s="7"/>
      <c r="B8" s="41" t="s">
        <v>226</v>
      </c>
      <c r="C8" s="7"/>
      <c r="D8" s="7"/>
      <c r="E8" s="11"/>
      <c r="F8" s="11"/>
      <c r="G8" s="11"/>
      <c r="H8" s="7"/>
    </row>
    <row r="9" spans="1:8" ht="12.75" customHeight="1">
      <c r="A9" s="7"/>
      <c r="B9" s="7"/>
      <c r="C9" s="13" t="s">
        <v>227</v>
      </c>
      <c r="D9" s="128"/>
      <c r="E9" s="163"/>
      <c r="F9" s="163"/>
      <c r="G9" s="164"/>
      <c r="H9" s="7"/>
    </row>
    <row r="10" spans="1:8" ht="12.75">
      <c r="A10" s="7"/>
      <c r="B10" s="7"/>
      <c r="C10" s="13"/>
      <c r="D10" s="165"/>
      <c r="E10" s="166"/>
      <c r="F10" s="166"/>
      <c r="G10" s="167"/>
      <c r="H10" s="7"/>
    </row>
    <row r="11" spans="1:8" ht="12.75">
      <c r="A11" s="7"/>
      <c r="B11" s="7"/>
      <c r="C11" s="13" t="s">
        <v>222</v>
      </c>
      <c r="D11" s="168"/>
      <c r="E11" s="169"/>
      <c r="F11" s="7"/>
      <c r="G11" s="7"/>
      <c r="H11" s="7"/>
    </row>
    <row r="12" spans="1:8" ht="12.75">
      <c r="A12" s="7"/>
      <c r="B12" s="7"/>
      <c r="C12" s="13" t="s">
        <v>141</v>
      </c>
      <c r="D12" s="14">
        <f>IF(D11="","",MAX(K14,K16))</f>
      </c>
      <c r="E12" s="8" t="s">
        <v>5</v>
      </c>
      <c r="F12" s="11"/>
      <c r="G12" s="7"/>
      <c r="H12" s="7"/>
    </row>
    <row r="13" spans="1:12" ht="12.75" customHeight="1">
      <c r="A13" s="7"/>
      <c r="B13" s="7"/>
      <c r="C13" s="13" t="s">
        <v>142</v>
      </c>
      <c r="D13" s="14">
        <f>IF(D11="","",MIN(K13,K15))</f>
      </c>
      <c r="E13" s="8" t="s">
        <v>5</v>
      </c>
      <c r="F13" s="7"/>
      <c r="G13" s="7"/>
      <c r="H13" s="7"/>
      <c r="J13" s="15" t="s">
        <v>4</v>
      </c>
      <c r="K13" s="16">
        <f>IF(D11="","",VLOOKUP(D9,A61:P100,IF(D11=O60,COLUMN(L60),COLUMN(M60))))</f>
      </c>
      <c r="L13" s="17" t="s">
        <v>5</v>
      </c>
    </row>
    <row r="14" spans="1:12" ht="12.75">
      <c r="A14" s="7"/>
      <c r="B14" s="7"/>
      <c r="C14" s="13" t="s">
        <v>7</v>
      </c>
      <c r="D14" s="18">
        <f>IF(D9="","",VLOOKUP(D9,A61:P100,COLUMN(D60)))</f>
      </c>
      <c r="E14" s="8"/>
      <c r="F14" s="7"/>
      <c r="G14" s="7"/>
      <c r="H14" s="7"/>
      <c r="I14" s="17"/>
      <c r="J14" s="15" t="s">
        <v>6</v>
      </c>
      <c r="K14" s="16">
        <f>IF(D11="","",VLOOKUP(D9,A61:P100,COLUMN(I60)))</f>
      </c>
      <c r="L14" s="17" t="s">
        <v>5</v>
      </c>
    </row>
    <row r="15" spans="1:25" ht="12.75">
      <c r="A15" s="7"/>
      <c r="B15" s="7"/>
      <c r="C15" s="13" t="s">
        <v>8</v>
      </c>
      <c r="D15" s="19">
        <f>IF(D9="","",VLOOKUP(D9,A61:P100,COLUMN(E60)))</f>
      </c>
      <c r="E15" s="8" t="s">
        <v>5</v>
      </c>
      <c r="F15" s="11"/>
      <c r="G15" s="7"/>
      <c r="H15" s="7"/>
      <c r="I15" s="17"/>
      <c r="J15" s="15" t="s">
        <v>40</v>
      </c>
      <c r="K15" s="16">
        <f>IF(D11="","",VLOOKUP(D9,A61:P100,COLUMN(L60)))</f>
      </c>
      <c r="L15" s="17" t="s">
        <v>5</v>
      </c>
      <c r="X15" s="52"/>
      <c r="Y15" s="52"/>
    </row>
    <row r="16" spans="1:25" ht="12.75">
      <c r="A16" s="7"/>
      <c r="B16" s="7"/>
      <c r="C16" s="13" t="s">
        <v>114</v>
      </c>
      <c r="D16" s="19">
        <f>IF(D9="","",VLOOKUP(D9,A61:P100,COLUMN(F60)))</f>
      </c>
      <c r="E16" s="8" t="s">
        <v>5</v>
      </c>
      <c r="F16" s="11"/>
      <c r="G16" s="7"/>
      <c r="H16" s="7"/>
      <c r="I16" s="17"/>
      <c r="J16" s="15" t="s">
        <v>39</v>
      </c>
      <c r="K16" s="16">
        <f>IF(D11="","",VLOOKUP(D9,A61:P100,COLUMN(K60)))</f>
      </c>
      <c r="L16" s="17" t="s">
        <v>5</v>
      </c>
      <c r="X16" s="52"/>
      <c r="Y16" s="52"/>
    </row>
    <row r="17" spans="1:25" ht="12.75">
      <c r="A17" s="7"/>
      <c r="B17" s="7"/>
      <c r="C17" s="13" t="s">
        <v>9</v>
      </c>
      <c r="D17" s="20">
        <f>IF(D11="","",IF(IF(D16&lt;D13,PI()*(D13^2-D12^2)/4-D14*PI()*((D15+1/8)/2)^2,PI()*(D13^2-D12^2)/4)&gt;0,IF(D16&lt;D13,PI()*(D13^2-D12^2)/4-D14*PI()*((D15+1/8)/2)^2,PI()*(D13^2-D12^2)/4),""))</f>
      </c>
      <c r="E17" s="8" t="s">
        <v>10</v>
      </c>
      <c r="F17" s="11"/>
      <c r="G17" s="7"/>
      <c r="H17" s="7"/>
      <c r="I17" s="50"/>
      <c r="X17" s="52"/>
      <c r="Y17" s="52"/>
    </row>
    <row r="18" spans="1:9" ht="12.75">
      <c r="A18" s="7"/>
      <c r="B18" s="7"/>
      <c r="C18" s="7"/>
      <c r="D18" s="7"/>
      <c r="E18" s="7"/>
      <c r="F18" s="7"/>
      <c r="G18" s="7"/>
      <c r="H18" s="7"/>
      <c r="I18" s="17"/>
    </row>
    <row r="19" spans="1:8" ht="12.75" customHeight="1">
      <c r="A19" s="7"/>
      <c r="B19" s="42" t="s">
        <v>155</v>
      </c>
      <c r="C19" s="7"/>
      <c r="D19" s="21"/>
      <c r="E19" s="11"/>
      <c r="F19" s="11"/>
      <c r="G19" s="7"/>
      <c r="H19" s="7"/>
    </row>
    <row r="20" spans="1:13" ht="12.75" customHeight="1">
      <c r="A20" s="7"/>
      <c r="B20" s="122" t="s">
        <v>12</v>
      </c>
      <c r="C20" s="146"/>
      <c r="D20" s="128"/>
      <c r="E20" s="129"/>
      <c r="F20" s="129"/>
      <c r="G20" s="130"/>
      <c r="H20" s="7"/>
      <c r="J20" s="17"/>
      <c r="K20" s="15" t="s">
        <v>145</v>
      </c>
      <c r="L20" s="17" t="e">
        <f>VLOOKUP(D20,Yield!X2:AA24,3)</f>
        <v>#N/A</v>
      </c>
      <c r="M20" s="17" t="s">
        <v>3</v>
      </c>
    </row>
    <row r="21" spans="1:13" ht="12.75" customHeight="1">
      <c r="A21" s="7"/>
      <c r="B21" s="147"/>
      <c r="C21" s="146"/>
      <c r="D21" s="134"/>
      <c r="E21" s="135"/>
      <c r="F21" s="135"/>
      <c r="G21" s="136"/>
      <c r="H21" s="7"/>
      <c r="J21" s="22"/>
      <c r="K21" s="15" t="s">
        <v>144</v>
      </c>
      <c r="L21" s="23" t="e">
        <f>$D$29*(L22*$D$30)*$D$15/12</f>
        <v>#N/A</v>
      </c>
      <c r="M21" s="17" t="s">
        <v>18</v>
      </c>
    </row>
    <row r="22" spans="1:13" ht="12.75">
      <c r="A22" s="7"/>
      <c r="B22" s="122" t="s">
        <v>13</v>
      </c>
      <c r="C22" s="123"/>
      <c r="D22" s="139">
        <f>IF(D20="","",VLOOKUP(D20,Yield!X2:AA24,2))</f>
      </c>
      <c r="E22" s="140"/>
      <c r="F22" s="140"/>
      <c r="G22" s="141"/>
      <c r="H22" s="7"/>
      <c r="K22" s="15" t="s">
        <v>149</v>
      </c>
      <c r="L22" s="24" t="e">
        <f>(L20*$D$17/$D$14)/$D$30</f>
        <v>#N/A</v>
      </c>
      <c r="M22" s="9" t="s">
        <v>3</v>
      </c>
    </row>
    <row r="23" spans="1:12" ht="12.75">
      <c r="A23" s="7"/>
      <c r="B23" s="124"/>
      <c r="C23" s="123"/>
      <c r="D23" s="142"/>
      <c r="E23" s="143"/>
      <c r="F23" s="143"/>
      <c r="G23" s="144"/>
      <c r="H23" s="7"/>
      <c r="K23" s="15" t="s">
        <v>148</v>
      </c>
      <c r="L23" s="25" t="e">
        <f>L22/$D$28</f>
        <v>#N/A</v>
      </c>
    </row>
    <row r="24" spans="1:8" ht="12.75">
      <c r="A24" s="7"/>
      <c r="B24" s="7"/>
      <c r="C24" s="13" t="s">
        <v>115</v>
      </c>
      <c r="D24" s="39">
        <f>IF(D20="","",VLOOKUP(D20,Yield!X2:AA24,3))</f>
      </c>
      <c r="E24" s="8" t="s">
        <v>3</v>
      </c>
      <c r="F24" s="8"/>
      <c r="G24" s="7"/>
      <c r="H24" s="7"/>
    </row>
    <row r="25" spans="1:13" ht="12.75" customHeight="1">
      <c r="A25" s="7"/>
      <c r="B25" s="7"/>
      <c r="C25" s="13" t="s">
        <v>116</v>
      </c>
      <c r="D25" s="38">
        <f>IF(D20="","",VLOOKUP(D20,Yield!X2:AA24,4))</f>
      </c>
      <c r="E25" s="8" t="s">
        <v>3</v>
      </c>
      <c r="F25" s="8"/>
      <c r="G25" s="7"/>
      <c r="H25" s="7"/>
      <c r="K25" s="15" t="s">
        <v>154</v>
      </c>
      <c r="L25" s="24" t="e">
        <f>(L27*$D$30)*$D$14/$D$17</f>
        <v>#VALUE!</v>
      </c>
      <c r="M25" s="9" t="s">
        <v>3</v>
      </c>
    </row>
    <row r="26" spans="1:13" ht="12.75">
      <c r="A26" s="7"/>
      <c r="B26" s="125" t="s">
        <v>117</v>
      </c>
      <c r="C26" s="126"/>
      <c r="D26" s="128"/>
      <c r="E26" s="129"/>
      <c r="F26" s="129"/>
      <c r="G26" s="130"/>
      <c r="H26" s="7"/>
      <c r="K26" s="15" t="s">
        <v>153</v>
      </c>
      <c r="L26" s="23" t="e">
        <f>$D$29*(L27*$D$30)*$D$15/12</f>
        <v>#VALUE!</v>
      </c>
      <c r="M26" s="17" t="s">
        <v>18</v>
      </c>
    </row>
    <row r="27" spans="1:13" ht="12.75">
      <c r="A27" s="7"/>
      <c r="B27" s="127"/>
      <c r="C27" s="126"/>
      <c r="D27" s="134"/>
      <c r="E27" s="135"/>
      <c r="F27" s="135"/>
      <c r="G27" s="136"/>
      <c r="H27" s="7"/>
      <c r="K27" s="15" t="s">
        <v>152</v>
      </c>
      <c r="L27" s="27" t="e">
        <f>L28*$D$28</f>
        <v>#VALUE!</v>
      </c>
      <c r="M27" s="17" t="s">
        <v>3</v>
      </c>
    </row>
    <row r="28" spans="1:13" ht="12.75">
      <c r="A28" s="7"/>
      <c r="B28" s="7"/>
      <c r="C28" s="13" t="s">
        <v>16</v>
      </c>
      <c r="D28" s="40">
        <f>IF(D26="","",VLOOKUP(D26,Yield!A3:U31,MATCH(D15,Bolt_Size)+1))</f>
      </c>
      <c r="E28" s="8" t="s">
        <v>3</v>
      </c>
      <c r="F28" s="7"/>
      <c r="G28" s="7"/>
      <c r="H28" s="7"/>
      <c r="K28" s="15" t="s">
        <v>151</v>
      </c>
      <c r="L28" s="25">
        <v>0.4</v>
      </c>
      <c r="M28" s="26"/>
    </row>
    <row r="29" spans="1:8" ht="12.75">
      <c r="A29" s="7"/>
      <c r="B29" s="7"/>
      <c r="C29" s="13" t="s">
        <v>17</v>
      </c>
      <c r="D29" s="43"/>
      <c r="E29" s="8"/>
      <c r="F29" s="7"/>
      <c r="G29" s="7"/>
      <c r="H29" s="7"/>
    </row>
    <row r="30" spans="1:13" ht="12.75">
      <c r="A30" s="7"/>
      <c r="B30" s="7"/>
      <c r="C30" s="13" t="s">
        <v>274</v>
      </c>
      <c r="D30" s="28">
        <f>IF(D15="","",HLOOKUP(D15,Yield!B1:U2,2))</f>
      </c>
      <c r="E30" s="8" t="s">
        <v>10</v>
      </c>
      <c r="F30" s="7"/>
      <c r="G30" s="7"/>
      <c r="H30" s="7"/>
      <c r="K30" s="15" t="s">
        <v>146</v>
      </c>
      <c r="L30" s="17" t="e">
        <f>VLOOKUP(D20,Yield!X2:AA24,4)</f>
        <v>#N/A</v>
      </c>
      <c r="M30" s="17" t="s">
        <v>3</v>
      </c>
    </row>
    <row r="31" spans="1:13" ht="13.5" thickBot="1">
      <c r="A31" s="7"/>
      <c r="B31" s="7"/>
      <c r="C31" s="7"/>
      <c r="D31" s="7"/>
      <c r="E31" s="7"/>
      <c r="F31" s="7"/>
      <c r="G31" s="7"/>
      <c r="H31" s="7"/>
      <c r="K31" s="15" t="s">
        <v>143</v>
      </c>
      <c r="L31" s="23" t="e">
        <f>$D$29*(L32*$D$30)*$D$15/12</f>
        <v>#N/A</v>
      </c>
      <c r="M31" s="17" t="s">
        <v>18</v>
      </c>
    </row>
    <row r="32" spans="1:17" ht="14.25" thickBot="1" thickTop="1">
      <c r="A32" s="7"/>
      <c r="B32" s="7"/>
      <c r="C32" s="13" t="s">
        <v>156</v>
      </c>
      <c r="D32" s="51">
        <f>IF(ISERROR(L31),"",IF(MAX(L21,L26)&gt;MIN(L31,L36),MIN(L31,L36),MAX(L21,L26)))</f>
      </c>
      <c r="E32" s="7" t="s">
        <v>160</v>
      </c>
      <c r="F32" s="8"/>
      <c r="G32" s="8"/>
      <c r="H32" s="7"/>
      <c r="K32" s="15" t="s">
        <v>150</v>
      </c>
      <c r="L32" s="24" t="e">
        <f>(L30*$D$17/$D$14)/$D$30</f>
        <v>#N/A</v>
      </c>
      <c r="M32" s="9" t="s">
        <v>3</v>
      </c>
      <c r="N32" s="52"/>
      <c r="O32" s="52"/>
      <c r="P32" s="52"/>
      <c r="Q32" s="52"/>
    </row>
    <row r="33" spans="1:13" ht="13.5" thickTop="1">
      <c r="A33" s="7"/>
      <c r="B33" s="7"/>
      <c r="C33" s="13" t="s">
        <v>37</v>
      </c>
      <c r="D33" s="45">
        <f>IF(ISERROR(L31),"",(D34*$D$30)*$D$14/$D$17)</f>
      </c>
      <c r="E33" s="7" t="s">
        <v>3</v>
      </c>
      <c r="F33" s="7"/>
      <c r="G33" s="7"/>
      <c r="H33" s="7"/>
      <c r="K33" s="15" t="s">
        <v>147</v>
      </c>
      <c r="L33" s="25" t="e">
        <f>L32/$D$28</f>
        <v>#N/A</v>
      </c>
      <c r="M33" s="26"/>
    </row>
    <row r="34" spans="1:8" ht="12.75">
      <c r="A34" s="7"/>
      <c r="B34" s="7"/>
      <c r="C34" s="13" t="s">
        <v>157</v>
      </c>
      <c r="D34" s="29">
        <f>IF(ISERROR(L31),"",D32/($D$29*$D$15/12*$D$30))</f>
      </c>
      <c r="E34" s="7" t="s">
        <v>3</v>
      </c>
      <c r="F34" s="8"/>
      <c r="G34" s="8"/>
      <c r="H34" s="7"/>
    </row>
    <row r="35" spans="1:13" ht="12.75" customHeight="1">
      <c r="A35" s="7"/>
      <c r="B35" s="7"/>
      <c r="C35" s="13" t="s">
        <v>158</v>
      </c>
      <c r="D35" s="30">
        <f>IF(ISERROR(L31),"",D34/$D$28)</f>
      </c>
      <c r="E35" s="7"/>
      <c r="F35" s="7"/>
      <c r="G35" s="7"/>
      <c r="H35" s="7"/>
      <c r="K35" s="15" t="s">
        <v>281</v>
      </c>
      <c r="L35" s="24" t="e">
        <f>(L37*$D$30)*$D$14/$D$17</f>
        <v>#VALUE!</v>
      </c>
      <c r="M35" s="9" t="s">
        <v>3</v>
      </c>
    </row>
    <row r="36" spans="1:13" ht="12.75" customHeight="1">
      <c r="A36" s="7"/>
      <c r="B36" s="137">
        <f>IF(ISERROR(D35),"",IF(D33&lt;D24,J43,IF(D35&lt;L28,J44,"")))</f>
      </c>
      <c r="C36" s="137"/>
      <c r="D36" s="137"/>
      <c r="E36" s="137"/>
      <c r="F36" s="137"/>
      <c r="G36" s="31"/>
      <c r="H36" s="7"/>
      <c r="K36" s="15" t="s">
        <v>282</v>
      </c>
      <c r="L36" s="23" t="e">
        <f>$D$29*(L37*$D$30)*$D$15/12</f>
        <v>#VALUE!</v>
      </c>
      <c r="M36" s="17" t="s">
        <v>18</v>
      </c>
    </row>
    <row r="37" spans="1:13" ht="13.5" thickBot="1">
      <c r="A37" s="7"/>
      <c r="B37" s="137"/>
      <c r="C37" s="137"/>
      <c r="D37" s="137"/>
      <c r="E37" s="137"/>
      <c r="F37" s="137"/>
      <c r="G37" s="31"/>
      <c r="H37" s="7"/>
      <c r="K37" s="15" t="s">
        <v>283</v>
      </c>
      <c r="L37" s="27" t="e">
        <f>L38*$D$28</f>
        <v>#VALUE!</v>
      </c>
      <c r="M37" s="17" t="s">
        <v>3</v>
      </c>
    </row>
    <row r="38" spans="1:12" ht="14.25" thickBot="1" thickTop="1">
      <c r="A38" s="7"/>
      <c r="B38" s="7"/>
      <c r="C38" s="13" t="s">
        <v>159</v>
      </c>
      <c r="D38" s="51">
        <f>IF(ISERROR(L31),"",IF(MAX(L21,L26)&gt;MIN(L31,L36),MAX(L21,L26),MIN(L31,L36)))</f>
      </c>
      <c r="E38" s="7" t="s">
        <v>160</v>
      </c>
      <c r="F38" s="7"/>
      <c r="G38" s="7"/>
      <c r="H38" s="7"/>
      <c r="K38" s="15" t="s">
        <v>284</v>
      </c>
      <c r="L38" s="25">
        <v>0.9</v>
      </c>
    </row>
    <row r="39" spans="1:8" ht="13.5" thickTop="1">
      <c r="A39" s="7"/>
      <c r="B39" s="7"/>
      <c r="C39" s="13" t="s">
        <v>37</v>
      </c>
      <c r="D39" s="45">
        <f>IF(ISERROR(L31),"",(D40*$D$30)*$D$14/$D$17)</f>
      </c>
      <c r="E39" s="7" t="s">
        <v>3</v>
      </c>
      <c r="F39" s="7"/>
      <c r="G39" s="7"/>
      <c r="H39" s="7"/>
    </row>
    <row r="40" spans="1:8" ht="12.75">
      <c r="A40" s="7"/>
      <c r="B40" s="7"/>
      <c r="C40" s="13" t="s">
        <v>157</v>
      </c>
      <c r="D40" s="29">
        <f>IF(ISERROR(L31),"",D38/($D$29*$D$15/12*$D$30))</f>
      </c>
      <c r="E40" s="7" t="s">
        <v>3</v>
      </c>
      <c r="F40" s="7"/>
      <c r="G40" s="7"/>
      <c r="H40" s="7"/>
    </row>
    <row r="41" spans="1:8" ht="12.75" customHeight="1">
      <c r="A41" s="7"/>
      <c r="B41" s="7"/>
      <c r="C41" s="13" t="s">
        <v>158</v>
      </c>
      <c r="D41" s="30">
        <f>IF(ISERROR(L31),"",D40/$D$28)</f>
      </c>
      <c r="E41" s="7"/>
      <c r="F41" s="7"/>
      <c r="G41" s="7"/>
      <c r="H41" s="7"/>
    </row>
    <row r="42" spans="1:8" ht="12.75">
      <c r="A42" s="7"/>
      <c r="B42" s="137">
        <f>IF(ISERROR(L33),"",IF(D41&gt;L38,J45,IF(D39&gt;D25,J46,"")))</f>
      </c>
      <c r="C42" s="145"/>
      <c r="D42" s="145"/>
      <c r="E42" s="145"/>
      <c r="F42" s="145"/>
      <c r="G42" s="32"/>
      <c r="H42" s="7"/>
    </row>
    <row r="43" spans="1:10" ht="12.75">
      <c r="A43" s="7"/>
      <c r="B43" s="145"/>
      <c r="C43" s="145"/>
      <c r="D43" s="145"/>
      <c r="E43" s="145"/>
      <c r="F43" s="145"/>
      <c r="G43" s="32"/>
      <c r="H43" s="7"/>
      <c r="J43" s="9" t="s">
        <v>218</v>
      </c>
    </row>
    <row r="44" spans="1:10" ht="12.75">
      <c r="A44" s="7"/>
      <c r="B44" s="7"/>
      <c r="C44" s="31"/>
      <c r="D44" s="31"/>
      <c r="E44" s="31"/>
      <c r="F44" s="31"/>
      <c r="G44" s="31"/>
      <c r="H44" s="7"/>
      <c r="J44" s="9" t="s">
        <v>285</v>
      </c>
    </row>
    <row r="45" spans="1:10" ht="12.75" customHeight="1">
      <c r="A45" s="7"/>
      <c r="B45" s="137">
        <f>IF(AND(B36=J43,B42=J45),J47,IF(AND(B36=J44,B42=J46),J48,""))</f>
      </c>
      <c r="C45" s="138"/>
      <c r="D45" s="138"/>
      <c r="E45" s="138"/>
      <c r="F45" s="138"/>
      <c r="G45" s="138"/>
      <c r="H45" s="7"/>
      <c r="J45" s="9" t="s">
        <v>219</v>
      </c>
    </row>
    <row r="46" spans="1:10" ht="12.75">
      <c r="A46" s="7"/>
      <c r="B46" s="138"/>
      <c r="C46" s="138"/>
      <c r="D46" s="138"/>
      <c r="E46" s="138"/>
      <c r="F46" s="138"/>
      <c r="G46" s="138"/>
      <c r="H46" s="7"/>
      <c r="J46" s="9" t="s">
        <v>220</v>
      </c>
    </row>
    <row r="47" spans="1:15" ht="12.75">
      <c r="A47" s="7"/>
      <c r="B47" s="138"/>
      <c r="C47" s="138"/>
      <c r="D47" s="138"/>
      <c r="E47" s="138"/>
      <c r="F47" s="138"/>
      <c r="G47" s="138"/>
      <c r="H47" s="7"/>
      <c r="J47" s="9" t="s">
        <v>255</v>
      </c>
      <c r="L47" s="12"/>
      <c r="M47" s="12"/>
      <c r="N47" s="12"/>
      <c r="O47" s="12"/>
    </row>
    <row r="48" spans="1:10" s="12" customFormat="1" ht="12.75">
      <c r="A48" s="7"/>
      <c r="B48" s="7"/>
      <c r="C48" s="7"/>
      <c r="D48" s="7"/>
      <c r="E48" s="7"/>
      <c r="F48" s="7"/>
      <c r="G48" s="7"/>
      <c r="H48" s="7"/>
      <c r="J48" s="12" t="s">
        <v>256</v>
      </c>
    </row>
    <row r="49" s="12" customFormat="1" ht="12.75" hidden="1">
      <c r="A49" s="9"/>
    </row>
    <row r="50" s="12" customFormat="1" ht="12.75" hidden="1">
      <c r="A50" s="9"/>
    </row>
    <row r="51" spans="1:11" s="12" customFormat="1" ht="12.75" hidden="1">
      <c r="A51" s="9"/>
      <c r="B51" s="9"/>
      <c r="C51" s="9"/>
      <c r="D51" s="9"/>
      <c r="E51" s="9"/>
      <c r="G51" s="9"/>
      <c r="H51" s="9"/>
      <c r="I51" s="9"/>
      <c r="J51" s="9"/>
      <c r="K51" s="9"/>
    </row>
    <row r="52" spans="1:11" s="12" customFormat="1" ht="12.75" hidden="1">
      <c r="A52" s="9"/>
      <c r="B52" s="9"/>
      <c r="C52" s="9"/>
      <c r="D52" s="9"/>
      <c r="E52" s="9"/>
      <c r="G52" s="9"/>
      <c r="H52" s="9"/>
      <c r="I52" s="9"/>
      <c r="J52" s="9"/>
      <c r="K52" s="9"/>
    </row>
    <row r="53" spans="1:11" s="12" customFormat="1" ht="12.75" hidden="1">
      <c r="A53" s="9"/>
      <c r="B53" s="9"/>
      <c r="C53" s="9"/>
      <c r="D53" s="9"/>
      <c r="E53" s="9"/>
      <c r="G53" s="9"/>
      <c r="H53" s="9"/>
      <c r="I53" s="9"/>
      <c r="J53" s="9"/>
      <c r="K53" s="9"/>
    </row>
    <row r="54" spans="1:11" s="12" customFormat="1" ht="12.75" hidden="1">
      <c r="A54" s="9"/>
      <c r="B54" s="9"/>
      <c r="C54" s="9"/>
      <c r="D54" s="9"/>
      <c r="E54" s="9"/>
      <c r="G54" s="9"/>
      <c r="H54" s="9"/>
      <c r="I54" s="9"/>
      <c r="J54" s="9"/>
      <c r="K54" s="9"/>
    </row>
    <row r="55" spans="1:11" s="12" customFormat="1" ht="12.75" hidden="1">
      <c r="A55" s="9"/>
      <c r="B55" s="9"/>
      <c r="C55" s="9"/>
      <c r="D55" s="9"/>
      <c r="E55" s="9"/>
      <c r="G55" s="9"/>
      <c r="H55" s="9"/>
      <c r="I55" s="9"/>
      <c r="J55" s="9"/>
      <c r="K55" s="9"/>
    </row>
    <row r="56" spans="1:11" s="12" customFormat="1" ht="12.75" hidden="1">
      <c r="A56" s="9"/>
      <c r="B56" s="9"/>
      <c r="C56" s="9"/>
      <c r="D56" s="9"/>
      <c r="E56" s="9"/>
      <c r="G56" s="9"/>
      <c r="H56" s="9"/>
      <c r="I56" s="9"/>
      <c r="J56" s="9"/>
      <c r="K56" s="9"/>
    </row>
    <row r="57" spans="1:11" s="12" customFormat="1" ht="12.75" hidden="1">
      <c r="A57" s="9"/>
      <c r="B57" s="9"/>
      <c r="C57" s="9"/>
      <c r="D57" s="9"/>
      <c r="E57" s="9"/>
      <c r="G57" s="9"/>
      <c r="H57" s="9"/>
      <c r="I57" s="9"/>
      <c r="J57" s="9"/>
      <c r="K57" s="9"/>
    </row>
    <row r="58" spans="1:11" s="12" customFormat="1" ht="12.75" hidden="1">
      <c r="A58" s="9"/>
      <c r="B58" s="9"/>
      <c r="C58" s="9"/>
      <c r="D58" s="9"/>
      <c r="E58" s="9"/>
      <c r="G58" s="9"/>
      <c r="H58" s="9"/>
      <c r="I58" s="9"/>
      <c r="J58" s="9"/>
      <c r="K58" s="9"/>
    </row>
    <row r="59" spans="1:15" s="12" customFormat="1" ht="12.75" hidden="1">
      <c r="A59" s="9"/>
      <c r="B59" s="9"/>
      <c r="C59" s="9"/>
      <c r="D59" s="9"/>
      <c r="E59" s="9"/>
      <c r="G59" s="9"/>
      <c r="H59" s="9"/>
      <c r="I59" s="9"/>
      <c r="J59" s="9"/>
      <c r="K59" s="9"/>
      <c r="N59" s="170" t="s">
        <v>225</v>
      </c>
      <c r="O59" s="170"/>
    </row>
    <row r="60" spans="1:16" s="12" customFormat="1" ht="12.75" hidden="1">
      <c r="A60" s="33" t="s">
        <v>48</v>
      </c>
      <c r="B60" s="33" t="s">
        <v>49</v>
      </c>
      <c r="C60" s="33" t="s">
        <v>50</v>
      </c>
      <c r="D60" s="33" t="s">
        <v>51</v>
      </c>
      <c r="E60" s="33" t="s">
        <v>52</v>
      </c>
      <c r="F60" s="33" t="s">
        <v>53</v>
      </c>
      <c r="G60" s="33" t="s">
        <v>54</v>
      </c>
      <c r="H60" s="33" t="s">
        <v>55</v>
      </c>
      <c r="I60" s="33" t="s">
        <v>118</v>
      </c>
      <c r="J60" s="33" t="s">
        <v>119</v>
      </c>
      <c r="K60" s="33" t="s">
        <v>120</v>
      </c>
      <c r="L60" s="33" t="s">
        <v>121</v>
      </c>
      <c r="M60" s="33" t="s">
        <v>221</v>
      </c>
      <c r="N60" s="33" t="s">
        <v>56</v>
      </c>
      <c r="O60" s="33" t="s">
        <v>223</v>
      </c>
      <c r="P60" s="33" t="s">
        <v>224</v>
      </c>
    </row>
    <row r="61" spans="1:20" ht="12.75" hidden="1">
      <c r="A61" s="9" t="str">
        <f>CONCATENATE(Q61,R61,S61,T61)</f>
        <v>  1) 150# 1/2"</v>
      </c>
      <c r="D61" s="9">
        <v>4</v>
      </c>
      <c r="E61" s="9">
        <v>0.5</v>
      </c>
      <c r="F61" s="9">
        <v>2.375</v>
      </c>
      <c r="I61" s="9">
        <v>0.84375</v>
      </c>
      <c r="J61" s="9">
        <v>1.875</v>
      </c>
      <c r="K61" s="9">
        <v>0.62</v>
      </c>
      <c r="L61" s="9">
        <v>3.5</v>
      </c>
      <c r="M61" s="9">
        <v>1.75</v>
      </c>
      <c r="N61" s="9">
        <f aca="true" t="shared" si="0" ref="N61:N100">E61+0.125</f>
        <v>0.625</v>
      </c>
      <c r="O61" s="34">
        <f aca="true" t="shared" si="1" ref="O61:O100">(PI()/4)*(L61^2-K61^2)-D61*PI()*(N61/2)^2</f>
        <v>8.09203581730025</v>
      </c>
      <c r="P61" s="9">
        <f aca="true" t="shared" si="2" ref="P61:P100">(PI()/4)*(M61^2-K61^2)</f>
        <v>2.1033748213947066</v>
      </c>
      <c r="Q61" s="9" t="s">
        <v>253</v>
      </c>
      <c r="R61" s="9">
        <v>1</v>
      </c>
      <c r="S61" s="9" t="s">
        <v>257</v>
      </c>
      <c r="T61" s="9" t="s">
        <v>233</v>
      </c>
    </row>
    <row r="62" spans="1:20" ht="12.75" hidden="1">
      <c r="A62" s="9" t="str">
        <f aca="true" t="shared" si="3" ref="A62:A100">CONCATENATE(Q62,R62,S62,T62)</f>
        <v>  2) 150# 3/4"</v>
      </c>
      <c r="D62" s="9">
        <v>4</v>
      </c>
      <c r="E62" s="9">
        <v>0.5</v>
      </c>
      <c r="F62" s="9">
        <v>2.75</v>
      </c>
      <c r="I62" s="9">
        <v>1.0625</v>
      </c>
      <c r="J62" s="9">
        <v>2.25</v>
      </c>
      <c r="K62" s="9">
        <v>0.82</v>
      </c>
      <c r="L62" s="9">
        <v>3.88</v>
      </c>
      <c r="M62" s="9">
        <v>2.06</v>
      </c>
      <c r="N62" s="9">
        <f t="shared" si="0"/>
        <v>0.625</v>
      </c>
      <c r="O62" s="34">
        <f t="shared" si="1"/>
        <v>10.068411755673589</v>
      </c>
      <c r="P62" s="9">
        <f t="shared" si="2"/>
        <v>2.8048139211249676</v>
      </c>
      <c r="Q62" s="9" t="s">
        <v>253</v>
      </c>
      <c r="R62" s="9">
        <v>2</v>
      </c>
      <c r="S62" s="9" t="s">
        <v>257</v>
      </c>
      <c r="T62" s="9" t="s">
        <v>234</v>
      </c>
    </row>
    <row r="63" spans="1:20" ht="12.75" hidden="1">
      <c r="A63" s="9" t="str">
        <f t="shared" si="3"/>
        <v>  3) 150# 1"</v>
      </c>
      <c r="D63" s="9">
        <v>4</v>
      </c>
      <c r="E63" s="9">
        <v>0.5</v>
      </c>
      <c r="F63" s="9">
        <v>3.125</v>
      </c>
      <c r="I63" s="9">
        <v>1.3125</v>
      </c>
      <c r="J63" s="9">
        <v>2.625</v>
      </c>
      <c r="K63" s="9">
        <v>1.05</v>
      </c>
      <c r="L63" s="9">
        <v>4.25</v>
      </c>
      <c r="M63" s="9">
        <v>2.25</v>
      </c>
      <c r="N63" s="9">
        <f t="shared" si="0"/>
        <v>0.625</v>
      </c>
      <c r="O63" s="34">
        <f t="shared" si="1"/>
        <v>12.093168220912212</v>
      </c>
      <c r="P63" s="9">
        <f t="shared" si="2"/>
        <v>3.1101767270538954</v>
      </c>
      <c r="Q63" s="9" t="s">
        <v>253</v>
      </c>
      <c r="R63" s="9">
        <v>3</v>
      </c>
      <c r="S63" s="9" t="s">
        <v>257</v>
      </c>
      <c r="T63" s="9" t="s">
        <v>235</v>
      </c>
    </row>
    <row r="64" spans="1:20" ht="12.75" hidden="1">
      <c r="A64" s="9" t="str">
        <f t="shared" si="3"/>
        <v>  4) 150# 1 1/4"</v>
      </c>
      <c r="D64" s="9">
        <v>4</v>
      </c>
      <c r="E64" s="9">
        <v>0.5</v>
      </c>
      <c r="F64" s="9">
        <v>3.5</v>
      </c>
      <c r="I64" s="9">
        <v>1.65625</v>
      </c>
      <c r="J64" s="9">
        <v>3</v>
      </c>
      <c r="K64" s="9">
        <v>1.38</v>
      </c>
      <c r="L64" s="9">
        <v>4.62</v>
      </c>
      <c r="M64" s="9">
        <v>2.62</v>
      </c>
      <c r="N64" s="9">
        <f t="shared" si="0"/>
        <v>0.625</v>
      </c>
      <c r="O64" s="34">
        <f t="shared" si="1"/>
        <v>14.040955666137883</v>
      </c>
      <c r="P64" s="9">
        <f t="shared" si="2"/>
        <v>3.895574890451344</v>
      </c>
      <c r="Q64" s="9" t="s">
        <v>253</v>
      </c>
      <c r="R64" s="9">
        <v>4</v>
      </c>
      <c r="S64" s="9" t="s">
        <v>257</v>
      </c>
      <c r="T64" s="9" t="s">
        <v>236</v>
      </c>
    </row>
    <row r="65" spans="1:20" ht="12.75" hidden="1">
      <c r="A65" s="9" t="str">
        <f t="shared" si="3"/>
        <v>  5) 150# 1 1/2"</v>
      </c>
      <c r="D65" s="9">
        <v>4</v>
      </c>
      <c r="E65" s="9">
        <v>0.5</v>
      </c>
      <c r="F65" s="9">
        <v>3.875</v>
      </c>
      <c r="I65" s="9">
        <v>1.90625</v>
      </c>
      <c r="J65" s="9">
        <v>3.375</v>
      </c>
      <c r="K65" s="9">
        <v>1.61</v>
      </c>
      <c r="L65" s="9">
        <v>5</v>
      </c>
      <c r="M65" s="9">
        <v>2.88</v>
      </c>
      <c r="N65" s="9">
        <f t="shared" si="0"/>
        <v>0.625</v>
      </c>
      <c r="O65" s="34">
        <f t="shared" si="1"/>
        <v>16.371938875285167</v>
      </c>
      <c r="P65" s="9">
        <f t="shared" si="2"/>
        <v>4.478575947141269</v>
      </c>
      <c r="Q65" s="9" t="s">
        <v>253</v>
      </c>
      <c r="R65" s="9">
        <v>5</v>
      </c>
      <c r="S65" s="9" t="s">
        <v>257</v>
      </c>
      <c r="T65" s="9" t="s">
        <v>237</v>
      </c>
    </row>
    <row r="66" spans="1:20" ht="12.75" hidden="1">
      <c r="A66" s="9" t="str">
        <f t="shared" si="3"/>
        <v>  6) 150# 2"</v>
      </c>
      <c r="D66" s="9">
        <v>4</v>
      </c>
      <c r="E66" s="9">
        <v>0.625</v>
      </c>
      <c r="F66" s="9">
        <v>4.75</v>
      </c>
      <c r="I66" s="9">
        <v>2.375</v>
      </c>
      <c r="J66" s="9">
        <v>4.125</v>
      </c>
      <c r="K66" s="9">
        <v>2.07</v>
      </c>
      <c r="L66" s="9">
        <v>6</v>
      </c>
      <c r="M66" s="9">
        <v>3.62</v>
      </c>
      <c r="N66" s="9">
        <f t="shared" si="0"/>
        <v>0.75</v>
      </c>
      <c r="O66" s="34">
        <f t="shared" si="1"/>
        <v>23.141835424322153</v>
      </c>
      <c r="P66" s="9">
        <f t="shared" si="2"/>
        <v>6.926819102083797</v>
      </c>
      <c r="Q66" s="9" t="s">
        <v>253</v>
      </c>
      <c r="R66" s="9">
        <v>6</v>
      </c>
      <c r="S66" s="9" t="s">
        <v>257</v>
      </c>
      <c r="T66" s="9" t="s">
        <v>238</v>
      </c>
    </row>
    <row r="67" spans="1:20" ht="12.75" hidden="1">
      <c r="A67" s="9" t="str">
        <f t="shared" si="3"/>
        <v>  7) 150# 2 1/2"</v>
      </c>
      <c r="D67" s="9">
        <v>4</v>
      </c>
      <c r="E67" s="9">
        <v>0.625</v>
      </c>
      <c r="F67" s="9">
        <v>5.5</v>
      </c>
      <c r="I67" s="9">
        <v>2.875</v>
      </c>
      <c r="J67" s="9">
        <v>4.875</v>
      </c>
      <c r="K67" s="9">
        <v>2.47</v>
      </c>
      <c r="L67" s="9">
        <v>7</v>
      </c>
      <c r="M67" s="9">
        <v>4.12</v>
      </c>
      <c r="N67" s="9">
        <f t="shared" si="0"/>
        <v>0.75</v>
      </c>
      <c r="O67" s="34">
        <f t="shared" si="1"/>
        <v>31.925728483759208</v>
      </c>
      <c r="P67" s="9">
        <f t="shared" si="2"/>
        <v>8.540026929702153</v>
      </c>
      <c r="Q67" s="9" t="s">
        <v>253</v>
      </c>
      <c r="R67" s="9">
        <v>7</v>
      </c>
      <c r="S67" s="9" t="s">
        <v>257</v>
      </c>
      <c r="T67" s="9" t="s">
        <v>239</v>
      </c>
    </row>
    <row r="68" spans="1:20" ht="12.75" hidden="1">
      <c r="A68" s="9" t="str">
        <f t="shared" si="3"/>
        <v>  8) 150# 3"</v>
      </c>
      <c r="D68" s="9">
        <v>4</v>
      </c>
      <c r="E68" s="9">
        <v>0.625</v>
      </c>
      <c r="F68" s="9">
        <v>6</v>
      </c>
      <c r="I68" s="9">
        <v>3.5</v>
      </c>
      <c r="J68" s="9">
        <v>5.375</v>
      </c>
      <c r="K68" s="9">
        <v>3.07</v>
      </c>
      <c r="L68" s="9">
        <v>7.5</v>
      </c>
      <c r="M68" s="9">
        <v>5</v>
      </c>
      <c r="N68" s="9">
        <f t="shared" si="0"/>
        <v>0.75</v>
      </c>
      <c r="O68" s="34">
        <f t="shared" si="1"/>
        <v>35.00920167325759</v>
      </c>
      <c r="P68" s="9">
        <f t="shared" si="2"/>
        <v>12.232654934731597</v>
      </c>
      <c r="Q68" s="9" t="s">
        <v>253</v>
      </c>
      <c r="R68" s="9">
        <v>8</v>
      </c>
      <c r="S68" s="9" t="s">
        <v>257</v>
      </c>
      <c r="T68" s="9" t="s">
        <v>240</v>
      </c>
    </row>
    <row r="69" spans="1:20" ht="12.75" hidden="1">
      <c r="A69" s="9" t="str">
        <f t="shared" si="3"/>
        <v>  9) 150# 3 1/2"</v>
      </c>
      <c r="D69" s="9">
        <v>8</v>
      </c>
      <c r="E69" s="9">
        <v>0.625</v>
      </c>
      <c r="F69" s="9">
        <v>7</v>
      </c>
      <c r="I69" s="9">
        <v>4</v>
      </c>
      <c r="J69" s="9">
        <v>6.375</v>
      </c>
      <c r="K69" s="9">
        <v>3.55</v>
      </c>
      <c r="L69" s="9">
        <v>8.5</v>
      </c>
      <c r="M69" s="9">
        <v>5.5</v>
      </c>
      <c r="N69" s="9">
        <f t="shared" si="0"/>
        <v>0.75</v>
      </c>
      <c r="O69" s="34">
        <f t="shared" si="1"/>
        <v>43.312745215960774</v>
      </c>
      <c r="P69" s="9">
        <f t="shared" si="2"/>
        <v>13.86031408855647</v>
      </c>
      <c r="Q69" s="9" t="s">
        <v>253</v>
      </c>
      <c r="R69" s="9">
        <v>9</v>
      </c>
      <c r="S69" s="9" t="s">
        <v>257</v>
      </c>
      <c r="T69" s="9" t="s">
        <v>241</v>
      </c>
    </row>
    <row r="70" spans="1:20" ht="12.75" hidden="1">
      <c r="A70" s="9" t="str">
        <f t="shared" si="3"/>
        <v>10) 150# 4"</v>
      </c>
      <c r="D70" s="9">
        <v>8</v>
      </c>
      <c r="E70" s="9">
        <v>0.625</v>
      </c>
      <c r="F70" s="9">
        <v>7.5</v>
      </c>
      <c r="I70" s="9">
        <v>4.5</v>
      </c>
      <c r="J70" s="9">
        <v>6.875</v>
      </c>
      <c r="K70" s="9">
        <v>4.03</v>
      </c>
      <c r="L70" s="9">
        <v>9</v>
      </c>
      <c r="M70" s="9">
        <v>6.19</v>
      </c>
      <c r="N70" s="9">
        <f t="shared" si="0"/>
        <v>0.75</v>
      </c>
      <c r="O70" s="34">
        <f t="shared" si="1"/>
        <v>47.32738646798317</v>
      </c>
      <c r="P70" s="9">
        <f t="shared" si="2"/>
        <v>17.337821536631353</v>
      </c>
      <c r="R70" s="9">
        <v>10</v>
      </c>
      <c r="S70" s="9" t="s">
        <v>257</v>
      </c>
      <c r="T70" s="9" t="s">
        <v>242</v>
      </c>
    </row>
    <row r="71" spans="1:20" ht="12.75" hidden="1">
      <c r="A71" s="9" t="str">
        <f t="shared" si="3"/>
        <v>11) 150# 5"</v>
      </c>
      <c r="D71" s="9">
        <v>8</v>
      </c>
      <c r="E71" s="9">
        <v>0.75</v>
      </c>
      <c r="F71" s="9">
        <v>8.5</v>
      </c>
      <c r="I71" s="9">
        <v>5.5625</v>
      </c>
      <c r="J71" s="9">
        <v>7.75</v>
      </c>
      <c r="K71" s="9">
        <v>5.05</v>
      </c>
      <c r="L71" s="9">
        <v>10</v>
      </c>
      <c r="M71" s="9">
        <v>7.31</v>
      </c>
      <c r="N71" s="9">
        <f t="shared" si="0"/>
        <v>0.875</v>
      </c>
      <c r="O71" s="34">
        <f t="shared" si="1"/>
        <v>53.699635926892036</v>
      </c>
      <c r="P71" s="9">
        <f t="shared" si="2"/>
        <v>21.93899813707896</v>
      </c>
      <c r="R71" s="9">
        <v>11</v>
      </c>
      <c r="S71" s="9" t="s">
        <v>257</v>
      </c>
      <c r="T71" s="9" t="s">
        <v>243</v>
      </c>
    </row>
    <row r="72" spans="1:20" ht="12.75" hidden="1">
      <c r="A72" s="9" t="str">
        <f t="shared" si="3"/>
        <v>12) 150# 6"</v>
      </c>
      <c r="D72" s="9">
        <v>8</v>
      </c>
      <c r="E72" s="9">
        <v>0.75</v>
      </c>
      <c r="F72" s="9">
        <v>9.5</v>
      </c>
      <c r="I72" s="9">
        <v>6.625</v>
      </c>
      <c r="J72" s="9">
        <v>8.75</v>
      </c>
      <c r="K72" s="9">
        <v>6.07</v>
      </c>
      <c r="L72" s="9">
        <v>11</v>
      </c>
      <c r="M72" s="9">
        <v>8.5</v>
      </c>
      <c r="N72" s="9">
        <f t="shared" si="0"/>
        <v>0.875</v>
      </c>
      <c r="O72" s="34">
        <f t="shared" si="1"/>
        <v>61.284697229719235</v>
      </c>
      <c r="P72" s="9">
        <f t="shared" si="2"/>
        <v>27.807100514902995</v>
      </c>
      <c r="R72" s="9">
        <v>12</v>
      </c>
      <c r="S72" s="9" t="s">
        <v>257</v>
      </c>
      <c r="T72" s="9" t="s">
        <v>244</v>
      </c>
    </row>
    <row r="73" spans="1:20" ht="12.75" hidden="1">
      <c r="A73" s="9" t="str">
        <f t="shared" si="3"/>
        <v>13) 150# 8"</v>
      </c>
      <c r="D73" s="9">
        <v>8</v>
      </c>
      <c r="E73" s="9">
        <v>0.75</v>
      </c>
      <c r="F73" s="9">
        <v>11.75</v>
      </c>
      <c r="I73" s="9">
        <v>8.625</v>
      </c>
      <c r="J73" s="9">
        <v>11</v>
      </c>
      <c r="K73" s="9">
        <v>7.98</v>
      </c>
      <c r="L73" s="9">
        <v>13.5</v>
      </c>
      <c r="M73" s="9">
        <v>10.62</v>
      </c>
      <c r="N73" s="9">
        <f t="shared" si="0"/>
        <v>0.875</v>
      </c>
      <c r="O73" s="9">
        <f t="shared" si="1"/>
        <v>88.31378232396071</v>
      </c>
      <c r="P73" s="9">
        <f t="shared" si="2"/>
        <v>38.566191415468275</v>
      </c>
      <c r="R73" s="9">
        <v>13</v>
      </c>
      <c r="S73" s="9" t="s">
        <v>257</v>
      </c>
      <c r="T73" s="9" t="s">
        <v>245</v>
      </c>
    </row>
    <row r="74" spans="1:20" ht="12.75" hidden="1">
      <c r="A74" s="9" t="str">
        <f t="shared" si="3"/>
        <v>14) 150# 10"</v>
      </c>
      <c r="D74" s="9">
        <v>12</v>
      </c>
      <c r="E74" s="9">
        <v>0.875</v>
      </c>
      <c r="F74" s="9">
        <v>14.25</v>
      </c>
      <c r="I74" s="9">
        <v>10.75</v>
      </c>
      <c r="J74" s="9">
        <v>13.375</v>
      </c>
      <c r="K74" s="9">
        <v>10.02</v>
      </c>
      <c r="L74" s="9">
        <v>16</v>
      </c>
      <c r="M74" s="9">
        <v>12.75</v>
      </c>
      <c r="N74" s="9">
        <f t="shared" si="0"/>
        <v>1</v>
      </c>
      <c r="O74" s="9">
        <f t="shared" si="1"/>
        <v>112.78286210460823</v>
      </c>
      <c r="P74" s="9">
        <f t="shared" si="2"/>
        <v>48.82199917292853</v>
      </c>
      <c r="R74" s="9">
        <v>14</v>
      </c>
      <c r="S74" s="9" t="s">
        <v>257</v>
      </c>
      <c r="T74" s="9" t="s">
        <v>246</v>
      </c>
    </row>
    <row r="75" spans="1:20" ht="12.75" hidden="1">
      <c r="A75" s="9" t="str">
        <f t="shared" si="3"/>
        <v>15) 150# 12"</v>
      </c>
      <c r="D75" s="9">
        <v>12</v>
      </c>
      <c r="E75" s="9">
        <v>0.875</v>
      </c>
      <c r="F75" s="9">
        <v>17</v>
      </c>
      <c r="I75" s="9">
        <v>12.75</v>
      </c>
      <c r="J75" s="9">
        <v>16.125</v>
      </c>
      <c r="K75" s="9">
        <v>12</v>
      </c>
      <c r="L75" s="9">
        <v>19</v>
      </c>
      <c r="M75" s="9">
        <v>15</v>
      </c>
      <c r="N75" s="9">
        <f t="shared" si="0"/>
        <v>1</v>
      </c>
      <c r="O75" s="9">
        <f t="shared" si="1"/>
        <v>161.0066234964769</v>
      </c>
      <c r="P75" s="9">
        <f t="shared" si="2"/>
        <v>63.61725123519331</v>
      </c>
      <c r="R75" s="9">
        <v>15</v>
      </c>
      <c r="S75" s="9" t="s">
        <v>257</v>
      </c>
      <c r="T75" s="9" t="s">
        <v>247</v>
      </c>
    </row>
    <row r="76" spans="1:20" ht="12.75" hidden="1">
      <c r="A76" s="9" t="str">
        <f t="shared" si="3"/>
        <v>16) 150# 14"</v>
      </c>
      <c r="D76" s="9">
        <v>12</v>
      </c>
      <c r="E76" s="9">
        <v>1</v>
      </c>
      <c r="F76" s="9">
        <v>18.75</v>
      </c>
      <c r="I76" s="9">
        <v>14</v>
      </c>
      <c r="J76" s="9">
        <v>17.75</v>
      </c>
      <c r="K76" s="9">
        <v>13.25</v>
      </c>
      <c r="L76" s="9">
        <v>21</v>
      </c>
      <c r="M76" s="9">
        <v>16.25</v>
      </c>
      <c r="N76" s="9">
        <f t="shared" si="0"/>
        <v>1.125</v>
      </c>
      <c r="O76" s="9">
        <f t="shared" si="1"/>
        <v>196.54589039021144</v>
      </c>
      <c r="P76" s="9">
        <f t="shared" si="2"/>
        <v>69.50773746067418</v>
      </c>
      <c r="R76" s="9">
        <v>16</v>
      </c>
      <c r="S76" s="9" t="s">
        <v>257</v>
      </c>
      <c r="T76" s="9" t="s">
        <v>248</v>
      </c>
    </row>
    <row r="77" spans="1:20" ht="12.75" hidden="1">
      <c r="A77" s="9" t="str">
        <f t="shared" si="3"/>
        <v>17) 150# 16"</v>
      </c>
      <c r="D77" s="9">
        <v>16</v>
      </c>
      <c r="E77" s="9">
        <v>1</v>
      </c>
      <c r="F77" s="9">
        <v>21.25</v>
      </c>
      <c r="I77" s="9">
        <v>16</v>
      </c>
      <c r="J77" s="9">
        <v>20.25</v>
      </c>
      <c r="K77" s="9">
        <v>15.25</v>
      </c>
      <c r="L77" s="9">
        <v>23.5</v>
      </c>
      <c r="M77" s="9">
        <v>18.5</v>
      </c>
      <c r="N77" s="9">
        <f t="shared" si="0"/>
        <v>1.125</v>
      </c>
      <c r="O77" s="9">
        <f t="shared" si="1"/>
        <v>235.17766255232343</v>
      </c>
      <c r="P77" s="9">
        <f t="shared" si="2"/>
        <v>86.1483610476576</v>
      </c>
      <c r="R77" s="9">
        <v>17</v>
      </c>
      <c r="S77" s="9" t="s">
        <v>257</v>
      </c>
      <c r="T77" s="9" t="s">
        <v>249</v>
      </c>
    </row>
    <row r="78" spans="1:20" ht="12.75" hidden="1">
      <c r="A78" s="9" t="str">
        <f t="shared" si="3"/>
        <v>18) 150# 18"</v>
      </c>
      <c r="D78" s="9">
        <v>16</v>
      </c>
      <c r="E78" s="9">
        <v>1.125</v>
      </c>
      <c r="F78" s="9">
        <v>22.75</v>
      </c>
      <c r="I78" s="9">
        <v>18</v>
      </c>
      <c r="J78" s="9">
        <v>21.625</v>
      </c>
      <c r="K78" s="9">
        <v>17.25</v>
      </c>
      <c r="L78" s="9">
        <v>25</v>
      </c>
      <c r="M78" s="9">
        <v>21</v>
      </c>
      <c r="N78" s="9">
        <f t="shared" si="0"/>
        <v>1.25</v>
      </c>
      <c r="O78" s="9">
        <f t="shared" si="1"/>
        <v>237.5338570425158</v>
      </c>
      <c r="P78" s="9">
        <f t="shared" si="2"/>
        <v>112.65554906232148</v>
      </c>
      <c r="R78" s="9">
        <v>18</v>
      </c>
      <c r="S78" s="9" t="s">
        <v>257</v>
      </c>
      <c r="T78" s="9" t="s">
        <v>250</v>
      </c>
    </row>
    <row r="79" spans="1:20" ht="12.75" hidden="1">
      <c r="A79" s="9" t="str">
        <f t="shared" si="3"/>
        <v>19) 150# 20"</v>
      </c>
      <c r="D79" s="9">
        <v>20</v>
      </c>
      <c r="E79" s="9">
        <v>1.125</v>
      </c>
      <c r="F79" s="9">
        <v>25</v>
      </c>
      <c r="I79" s="9">
        <v>20</v>
      </c>
      <c r="J79" s="9">
        <v>23.875</v>
      </c>
      <c r="K79" s="9">
        <v>19.25</v>
      </c>
      <c r="L79" s="9">
        <v>27.5</v>
      </c>
      <c r="M79" s="9">
        <v>23</v>
      </c>
      <c r="N79" s="9">
        <f t="shared" si="0"/>
        <v>1.25</v>
      </c>
      <c r="O79" s="9">
        <f t="shared" si="1"/>
        <v>278.37456153918305</v>
      </c>
      <c r="P79" s="9">
        <f t="shared" si="2"/>
        <v>124.43652151328321</v>
      </c>
      <c r="R79" s="9">
        <v>19</v>
      </c>
      <c r="S79" s="9" t="s">
        <v>257</v>
      </c>
      <c r="T79" s="9" t="s">
        <v>251</v>
      </c>
    </row>
    <row r="80" spans="1:20" ht="12.75" hidden="1">
      <c r="A80" s="9" t="str">
        <f t="shared" si="3"/>
        <v>20) 150# 24"</v>
      </c>
      <c r="D80" s="9">
        <v>20</v>
      </c>
      <c r="E80" s="9">
        <v>1.25</v>
      </c>
      <c r="F80" s="9">
        <v>29</v>
      </c>
      <c r="I80" s="9">
        <v>24</v>
      </c>
      <c r="J80" s="9">
        <v>28.25</v>
      </c>
      <c r="K80" s="9">
        <v>23.25</v>
      </c>
      <c r="L80" s="9">
        <v>32</v>
      </c>
      <c r="M80" s="9">
        <v>27.25</v>
      </c>
      <c r="N80" s="9">
        <f t="shared" si="0"/>
        <v>1.375</v>
      </c>
      <c r="O80" s="9">
        <f t="shared" si="1"/>
        <v>349.99305656398786</v>
      </c>
      <c r="P80" s="9">
        <f t="shared" si="2"/>
        <v>158.65042900628455</v>
      </c>
      <c r="R80" s="9">
        <v>20</v>
      </c>
      <c r="S80" s="9" t="s">
        <v>257</v>
      </c>
      <c r="T80" s="9" t="s">
        <v>252</v>
      </c>
    </row>
    <row r="81" spans="1:20" ht="12.75" hidden="1">
      <c r="A81" s="9" t="str">
        <f t="shared" si="3"/>
        <v>21) 300# 1/2"</v>
      </c>
      <c r="D81" s="9">
        <v>4</v>
      </c>
      <c r="E81" s="9">
        <v>0.5</v>
      </c>
      <c r="F81" s="9">
        <v>2.625</v>
      </c>
      <c r="I81" s="9">
        <v>0.84375</v>
      </c>
      <c r="J81" s="9">
        <v>2.125</v>
      </c>
      <c r="K81" s="9">
        <v>0.62</v>
      </c>
      <c r="L81" s="9">
        <v>3.75</v>
      </c>
      <c r="M81" s="9">
        <v>1.75</v>
      </c>
      <c r="N81" s="9">
        <f t="shared" si="0"/>
        <v>0.625</v>
      </c>
      <c r="O81" s="9">
        <f t="shared" si="1"/>
        <v>9.515569988458125</v>
      </c>
      <c r="P81" s="9">
        <f t="shared" si="2"/>
        <v>2.1033748213947066</v>
      </c>
      <c r="R81" s="9">
        <v>21</v>
      </c>
      <c r="S81" s="9" t="s">
        <v>258</v>
      </c>
      <c r="T81" s="9" t="s">
        <v>233</v>
      </c>
    </row>
    <row r="82" spans="1:20" ht="12.75" hidden="1">
      <c r="A82" s="9" t="str">
        <f t="shared" si="3"/>
        <v>22) 300# 3/4"</v>
      </c>
      <c r="D82" s="9">
        <v>4</v>
      </c>
      <c r="E82" s="9">
        <v>0.625</v>
      </c>
      <c r="F82" s="9">
        <v>3.25</v>
      </c>
      <c r="I82" s="9">
        <v>1.0625</v>
      </c>
      <c r="J82" s="9">
        <v>2.625</v>
      </c>
      <c r="K82" s="9">
        <v>0.82</v>
      </c>
      <c r="L82" s="9">
        <v>4.62</v>
      </c>
      <c r="M82" s="9">
        <v>2.06</v>
      </c>
      <c r="N82" s="9">
        <f t="shared" si="0"/>
        <v>0.75</v>
      </c>
      <c r="O82" s="9">
        <f t="shared" si="1"/>
        <v>14.468604966107792</v>
      </c>
      <c r="P82" s="9">
        <f t="shared" si="2"/>
        <v>2.8048139211249676</v>
      </c>
      <c r="R82" s="9">
        <v>22</v>
      </c>
      <c r="S82" s="9" t="s">
        <v>258</v>
      </c>
      <c r="T82" s="9" t="s">
        <v>234</v>
      </c>
    </row>
    <row r="83" spans="1:20" ht="12.75" hidden="1">
      <c r="A83" s="9" t="str">
        <f t="shared" si="3"/>
        <v>23) 300# 1"</v>
      </c>
      <c r="D83" s="9">
        <v>4</v>
      </c>
      <c r="E83" s="9">
        <v>0.625</v>
      </c>
      <c r="F83" s="9">
        <v>3.5</v>
      </c>
      <c r="I83" s="9">
        <v>1.3125</v>
      </c>
      <c r="J83" s="9">
        <v>2.875</v>
      </c>
      <c r="K83" s="9">
        <v>1.05</v>
      </c>
      <c r="L83" s="9">
        <v>4.88</v>
      </c>
      <c r="M83" s="9">
        <v>2.25</v>
      </c>
      <c r="N83" s="9">
        <f t="shared" si="0"/>
        <v>0.75</v>
      </c>
      <c r="O83" s="9">
        <f t="shared" si="1"/>
        <v>16.070738679622245</v>
      </c>
      <c r="P83" s="9">
        <f t="shared" si="2"/>
        <v>3.1101767270538954</v>
      </c>
      <c r="R83" s="9">
        <v>23</v>
      </c>
      <c r="S83" s="9" t="s">
        <v>258</v>
      </c>
      <c r="T83" s="9" t="s">
        <v>235</v>
      </c>
    </row>
    <row r="84" spans="1:20" ht="12.75" hidden="1">
      <c r="A84" s="9" t="str">
        <f t="shared" si="3"/>
        <v>24) 300# 1 1/4"</v>
      </c>
      <c r="D84" s="9">
        <v>4</v>
      </c>
      <c r="E84" s="9">
        <v>0.625</v>
      </c>
      <c r="F84" s="9">
        <v>3.875</v>
      </c>
      <c r="I84" s="9">
        <v>1.65625</v>
      </c>
      <c r="J84" s="9">
        <v>3.25</v>
      </c>
      <c r="K84" s="9">
        <v>1.38</v>
      </c>
      <c r="L84" s="9">
        <v>5.25</v>
      </c>
      <c r="M84" s="9">
        <v>2.62</v>
      </c>
      <c r="N84" s="9">
        <f t="shared" si="0"/>
        <v>0.75</v>
      </c>
      <c r="O84" s="9">
        <f t="shared" si="1"/>
        <v>18.38467874862381</v>
      </c>
      <c r="P84" s="9">
        <f t="shared" si="2"/>
        <v>3.895574890451344</v>
      </c>
      <c r="R84" s="9">
        <v>24</v>
      </c>
      <c r="S84" s="9" t="s">
        <v>258</v>
      </c>
      <c r="T84" s="9" t="s">
        <v>236</v>
      </c>
    </row>
    <row r="85" spans="1:20" ht="12.75" hidden="1">
      <c r="A85" s="9" t="str">
        <f t="shared" si="3"/>
        <v>25) 300# 1 1/2"</v>
      </c>
      <c r="D85" s="9">
        <v>4</v>
      </c>
      <c r="E85" s="9">
        <v>0.75</v>
      </c>
      <c r="F85" s="9">
        <v>4.5</v>
      </c>
      <c r="I85" s="9">
        <v>1.90625</v>
      </c>
      <c r="J85" s="9">
        <v>3.75</v>
      </c>
      <c r="K85" s="9">
        <v>1.61</v>
      </c>
      <c r="L85" s="9">
        <v>6.12</v>
      </c>
      <c r="M85" s="9">
        <v>2.88</v>
      </c>
      <c r="N85" s="9">
        <f t="shared" si="0"/>
        <v>0.875</v>
      </c>
      <c r="O85" s="9">
        <f t="shared" si="1"/>
        <v>24.975504516406172</v>
      </c>
      <c r="P85" s="9">
        <f t="shared" si="2"/>
        <v>4.478575947141269</v>
      </c>
      <c r="R85" s="9">
        <v>25</v>
      </c>
      <c r="S85" s="9" t="s">
        <v>258</v>
      </c>
      <c r="T85" s="9" t="s">
        <v>237</v>
      </c>
    </row>
    <row r="86" spans="1:20" ht="12.75" hidden="1">
      <c r="A86" s="9" t="str">
        <f t="shared" si="3"/>
        <v>26) 300# 2"</v>
      </c>
      <c r="D86" s="9">
        <v>8</v>
      </c>
      <c r="E86" s="9">
        <v>0.625</v>
      </c>
      <c r="F86" s="9">
        <v>5</v>
      </c>
      <c r="I86" s="9">
        <v>2.375</v>
      </c>
      <c r="J86" s="9">
        <v>4.375</v>
      </c>
      <c r="K86" s="9">
        <v>2.07</v>
      </c>
      <c r="L86" s="9">
        <v>6.5</v>
      </c>
      <c r="M86" s="9">
        <v>3.62</v>
      </c>
      <c r="N86" s="9">
        <f t="shared" si="0"/>
        <v>0.75</v>
      </c>
      <c r="O86" s="9">
        <f t="shared" si="1"/>
        <v>26.283428077911946</v>
      </c>
      <c r="P86" s="9">
        <f t="shared" si="2"/>
        <v>6.926819102083797</v>
      </c>
      <c r="R86" s="9">
        <v>26</v>
      </c>
      <c r="S86" s="9" t="s">
        <v>258</v>
      </c>
      <c r="T86" s="9" t="s">
        <v>238</v>
      </c>
    </row>
    <row r="87" spans="1:20" ht="12.75" hidden="1">
      <c r="A87" s="9" t="str">
        <f t="shared" si="3"/>
        <v>27) 300# 2 1/2"</v>
      </c>
      <c r="D87" s="9">
        <v>8</v>
      </c>
      <c r="E87" s="9">
        <v>0.75</v>
      </c>
      <c r="F87" s="9">
        <v>5.875</v>
      </c>
      <c r="I87" s="9">
        <v>2.875</v>
      </c>
      <c r="J87" s="9">
        <v>5.125</v>
      </c>
      <c r="K87" s="9">
        <v>2.47</v>
      </c>
      <c r="L87" s="9">
        <v>7.5</v>
      </c>
      <c r="M87" s="9">
        <v>4.12</v>
      </c>
      <c r="N87" s="9">
        <f t="shared" si="0"/>
        <v>0.875</v>
      </c>
      <c r="O87" s="9">
        <f t="shared" si="1"/>
        <v>34.5764472852256</v>
      </c>
      <c r="P87" s="9">
        <f t="shared" si="2"/>
        <v>8.540026929702153</v>
      </c>
      <c r="R87" s="9">
        <v>27</v>
      </c>
      <c r="S87" s="9" t="s">
        <v>258</v>
      </c>
      <c r="T87" s="9" t="s">
        <v>239</v>
      </c>
    </row>
    <row r="88" spans="1:20" ht="12.75" hidden="1">
      <c r="A88" s="9" t="str">
        <f t="shared" si="3"/>
        <v>28) 300# 3"</v>
      </c>
      <c r="D88" s="9">
        <v>8</v>
      </c>
      <c r="E88" s="9">
        <v>0.75</v>
      </c>
      <c r="F88" s="9">
        <v>6.625</v>
      </c>
      <c r="I88" s="9">
        <v>3.5</v>
      </c>
      <c r="J88" s="9">
        <v>5.875</v>
      </c>
      <c r="K88" s="9">
        <v>3.07</v>
      </c>
      <c r="L88" s="9">
        <v>8.25</v>
      </c>
      <c r="M88" s="9">
        <v>5</v>
      </c>
      <c r="N88" s="9">
        <f t="shared" si="0"/>
        <v>0.875</v>
      </c>
      <c r="O88" s="9">
        <f t="shared" si="1"/>
        <v>41.24329959522484</v>
      </c>
      <c r="P88" s="9">
        <f t="shared" si="2"/>
        <v>12.232654934731597</v>
      </c>
      <c r="R88" s="9">
        <v>28</v>
      </c>
      <c r="S88" s="9" t="s">
        <v>258</v>
      </c>
      <c r="T88" s="9" t="s">
        <v>240</v>
      </c>
    </row>
    <row r="89" spans="1:20" ht="12.75" hidden="1">
      <c r="A89" s="9" t="str">
        <f t="shared" si="3"/>
        <v>29) 300# 3 1/2"</v>
      </c>
      <c r="D89" s="9">
        <v>8</v>
      </c>
      <c r="E89" s="9">
        <v>0.75</v>
      </c>
      <c r="F89" s="9">
        <v>7.25</v>
      </c>
      <c r="I89" s="9">
        <v>4</v>
      </c>
      <c r="J89" s="9">
        <v>6.5</v>
      </c>
      <c r="K89" s="9">
        <v>3.55</v>
      </c>
      <c r="L89" s="9">
        <v>9</v>
      </c>
      <c r="M89" s="9">
        <v>5.5</v>
      </c>
      <c r="N89" s="9">
        <f t="shared" si="0"/>
        <v>0.875</v>
      </c>
      <c r="O89" s="9">
        <f t="shared" si="1"/>
        <v>48.908707130167606</v>
      </c>
      <c r="P89" s="9">
        <f t="shared" si="2"/>
        <v>13.86031408855647</v>
      </c>
      <c r="R89" s="9">
        <v>29</v>
      </c>
      <c r="S89" s="9" t="s">
        <v>258</v>
      </c>
      <c r="T89" s="9" t="s">
        <v>241</v>
      </c>
    </row>
    <row r="90" spans="1:20" ht="12.75" hidden="1">
      <c r="A90" s="9" t="str">
        <f t="shared" si="3"/>
        <v>30) 300# 4"</v>
      </c>
      <c r="D90" s="9">
        <v>8</v>
      </c>
      <c r="E90" s="9">
        <v>0.75</v>
      </c>
      <c r="F90" s="9">
        <v>7.875</v>
      </c>
      <c r="I90" s="9">
        <v>4.5</v>
      </c>
      <c r="J90" s="9">
        <v>7.125</v>
      </c>
      <c r="K90" s="9">
        <v>4.03</v>
      </c>
      <c r="L90" s="9">
        <v>10</v>
      </c>
      <c r="M90" s="9">
        <v>6.19</v>
      </c>
      <c r="N90" s="9">
        <f t="shared" si="0"/>
        <v>0.875</v>
      </c>
      <c r="O90" s="9">
        <f t="shared" si="1"/>
        <v>60.97367955701383</v>
      </c>
      <c r="P90" s="9">
        <f t="shared" si="2"/>
        <v>17.337821536631353</v>
      </c>
      <c r="R90" s="9">
        <v>30</v>
      </c>
      <c r="S90" s="9" t="s">
        <v>258</v>
      </c>
      <c r="T90" s="9" t="s">
        <v>242</v>
      </c>
    </row>
    <row r="91" spans="1:20" ht="12.75" hidden="1">
      <c r="A91" s="9" t="str">
        <f t="shared" si="3"/>
        <v>31) 300# 5"</v>
      </c>
      <c r="D91" s="9">
        <v>8</v>
      </c>
      <c r="E91" s="9">
        <v>0.75</v>
      </c>
      <c r="F91" s="9">
        <v>9.25</v>
      </c>
      <c r="I91" s="9">
        <v>5.5625</v>
      </c>
      <c r="J91" s="9">
        <v>8.5</v>
      </c>
      <c r="K91" s="9">
        <v>5.05</v>
      </c>
      <c r="L91" s="9">
        <v>11</v>
      </c>
      <c r="M91" s="9">
        <v>7.31</v>
      </c>
      <c r="N91" s="9">
        <f t="shared" si="0"/>
        <v>0.875</v>
      </c>
      <c r="O91" s="9">
        <f t="shared" si="1"/>
        <v>70.19299735823846</v>
      </c>
      <c r="P91" s="9">
        <f t="shared" si="2"/>
        <v>21.93899813707896</v>
      </c>
      <c r="R91" s="9">
        <v>31</v>
      </c>
      <c r="S91" s="9" t="s">
        <v>258</v>
      </c>
      <c r="T91" s="9" t="s">
        <v>243</v>
      </c>
    </row>
    <row r="92" spans="1:20" ht="12.75" hidden="1">
      <c r="A92" s="9" t="str">
        <f t="shared" si="3"/>
        <v>32) 300# 6"</v>
      </c>
      <c r="D92" s="9">
        <v>12</v>
      </c>
      <c r="E92" s="9">
        <v>0.75</v>
      </c>
      <c r="F92" s="9">
        <v>10.625</v>
      </c>
      <c r="I92" s="9">
        <v>6.625</v>
      </c>
      <c r="J92" s="9">
        <v>9.875</v>
      </c>
      <c r="K92" s="9">
        <v>6.07</v>
      </c>
      <c r="L92" s="9">
        <v>12.5</v>
      </c>
      <c r="M92" s="9">
        <v>8.5</v>
      </c>
      <c r="N92" s="9">
        <f t="shared" si="0"/>
        <v>0.875</v>
      </c>
      <c r="O92" s="9">
        <f t="shared" si="1"/>
        <v>86.5647006140746</v>
      </c>
      <c r="P92" s="9">
        <f t="shared" si="2"/>
        <v>27.807100514902995</v>
      </c>
      <c r="R92" s="9">
        <v>32</v>
      </c>
      <c r="S92" s="9" t="s">
        <v>258</v>
      </c>
      <c r="T92" s="9" t="s">
        <v>244</v>
      </c>
    </row>
    <row r="93" spans="1:20" ht="12.75" hidden="1">
      <c r="A93" s="9" t="str">
        <f t="shared" si="3"/>
        <v>33) 300# 8"</v>
      </c>
      <c r="D93" s="9">
        <v>12</v>
      </c>
      <c r="E93" s="9">
        <v>0.875</v>
      </c>
      <c r="F93" s="9">
        <v>13</v>
      </c>
      <c r="I93" s="9">
        <v>8.625</v>
      </c>
      <c r="J93" s="9">
        <v>12.125</v>
      </c>
      <c r="K93" s="9">
        <v>7.98</v>
      </c>
      <c r="L93" s="9">
        <v>15</v>
      </c>
      <c r="M93" s="9">
        <v>10.62</v>
      </c>
      <c r="N93" s="9">
        <f t="shared" si="0"/>
        <v>1</v>
      </c>
      <c r="O93" s="9">
        <f t="shared" si="1"/>
        <v>117.2753395992416</v>
      </c>
      <c r="P93" s="9">
        <f t="shared" si="2"/>
        <v>38.566191415468275</v>
      </c>
      <c r="R93" s="9">
        <v>33</v>
      </c>
      <c r="S93" s="9" t="s">
        <v>258</v>
      </c>
      <c r="T93" s="9" t="s">
        <v>245</v>
      </c>
    </row>
    <row r="94" spans="1:20" ht="12.75" hidden="1">
      <c r="A94" s="9" t="str">
        <f t="shared" si="3"/>
        <v>34) 300# 10"</v>
      </c>
      <c r="D94" s="9">
        <v>16</v>
      </c>
      <c r="E94" s="9">
        <v>1</v>
      </c>
      <c r="F94" s="9">
        <v>15.25</v>
      </c>
      <c r="I94" s="9">
        <v>10.75</v>
      </c>
      <c r="J94" s="9">
        <v>14.25</v>
      </c>
      <c r="K94" s="9">
        <v>10.02</v>
      </c>
      <c r="L94" s="9">
        <v>17.5</v>
      </c>
      <c r="M94" s="9">
        <v>12.75</v>
      </c>
      <c r="N94" s="9">
        <f t="shared" si="0"/>
        <v>1.125</v>
      </c>
      <c r="O94" s="9">
        <f t="shared" si="1"/>
        <v>145.76958496730106</v>
      </c>
      <c r="P94" s="9">
        <f t="shared" si="2"/>
        <v>48.82199917292853</v>
      </c>
      <c r="R94" s="9">
        <v>34</v>
      </c>
      <c r="S94" s="9" t="s">
        <v>258</v>
      </c>
      <c r="T94" s="9" t="s">
        <v>246</v>
      </c>
    </row>
    <row r="95" spans="1:20" ht="12.75" hidden="1">
      <c r="A95" s="9" t="str">
        <f t="shared" si="3"/>
        <v>35) 300# 12"</v>
      </c>
      <c r="D95" s="9">
        <v>16</v>
      </c>
      <c r="E95" s="9">
        <v>1.125</v>
      </c>
      <c r="F95" s="9">
        <v>17.75</v>
      </c>
      <c r="I95" s="9">
        <v>12.75</v>
      </c>
      <c r="J95" s="9">
        <v>16.625</v>
      </c>
      <c r="K95" s="9">
        <v>12</v>
      </c>
      <c r="L95" s="9">
        <v>20.5</v>
      </c>
      <c r="M95" s="9">
        <v>15</v>
      </c>
      <c r="N95" s="9">
        <f t="shared" si="0"/>
        <v>1.25</v>
      </c>
      <c r="O95" s="9">
        <f t="shared" si="1"/>
        <v>197.33128855360889</v>
      </c>
      <c r="P95" s="9">
        <f t="shared" si="2"/>
        <v>63.61725123519331</v>
      </c>
      <c r="R95" s="9">
        <v>35</v>
      </c>
      <c r="S95" s="9" t="s">
        <v>258</v>
      </c>
      <c r="T95" s="9" t="s">
        <v>247</v>
      </c>
    </row>
    <row r="96" spans="1:20" ht="12.75" hidden="1">
      <c r="A96" s="9" t="str">
        <f t="shared" si="3"/>
        <v>36) 300# 14"</v>
      </c>
      <c r="D96" s="9">
        <v>20</v>
      </c>
      <c r="E96" s="9">
        <v>1.125</v>
      </c>
      <c r="F96" s="9">
        <v>20.25</v>
      </c>
      <c r="I96" s="9">
        <v>14</v>
      </c>
      <c r="J96" s="9">
        <v>19.125</v>
      </c>
      <c r="K96" s="9">
        <v>13.25</v>
      </c>
      <c r="L96" s="9">
        <v>23</v>
      </c>
      <c r="M96" s="9">
        <v>16.25</v>
      </c>
      <c r="N96" s="9">
        <f t="shared" si="0"/>
        <v>1.25</v>
      </c>
      <c r="O96" s="9">
        <f t="shared" si="1"/>
        <v>253.04547076961538</v>
      </c>
      <c r="P96" s="9">
        <f t="shared" si="2"/>
        <v>69.50773746067418</v>
      </c>
      <c r="R96" s="9">
        <v>36</v>
      </c>
      <c r="S96" s="9" t="s">
        <v>258</v>
      </c>
      <c r="T96" s="9" t="s">
        <v>248</v>
      </c>
    </row>
    <row r="97" spans="1:20" ht="12.75" hidden="1">
      <c r="A97" s="9" t="str">
        <f t="shared" si="3"/>
        <v>37) 300# 16"</v>
      </c>
      <c r="D97" s="9">
        <v>20</v>
      </c>
      <c r="E97" s="9">
        <v>1.25</v>
      </c>
      <c r="F97" s="9">
        <v>22.5</v>
      </c>
      <c r="I97" s="9">
        <v>16</v>
      </c>
      <c r="J97" s="9">
        <v>21.25</v>
      </c>
      <c r="K97" s="9">
        <v>15.25</v>
      </c>
      <c r="L97" s="9">
        <v>25.5</v>
      </c>
      <c r="M97" s="9">
        <v>18.5</v>
      </c>
      <c r="N97" s="9">
        <f t="shared" si="0"/>
        <v>1.375</v>
      </c>
      <c r="O97" s="9">
        <f t="shared" si="1"/>
        <v>298.35312732060567</v>
      </c>
      <c r="P97" s="9">
        <f t="shared" si="2"/>
        <v>86.1483610476576</v>
      </c>
      <c r="R97" s="9">
        <v>37</v>
      </c>
      <c r="S97" s="9" t="s">
        <v>258</v>
      </c>
      <c r="T97" s="9" t="s">
        <v>249</v>
      </c>
    </row>
    <row r="98" spans="1:20" ht="12.75" hidden="1">
      <c r="A98" s="9" t="str">
        <f t="shared" si="3"/>
        <v>38) 300# 18"</v>
      </c>
      <c r="D98" s="9">
        <v>24</v>
      </c>
      <c r="E98" s="9">
        <v>1.25</v>
      </c>
      <c r="F98" s="9">
        <v>24.75</v>
      </c>
      <c r="I98" s="9">
        <v>18</v>
      </c>
      <c r="J98" s="9">
        <v>23.5</v>
      </c>
      <c r="K98" s="9">
        <v>17.25</v>
      </c>
      <c r="L98" s="9">
        <v>28</v>
      </c>
      <c r="M98" s="9">
        <v>21</v>
      </c>
      <c r="N98" s="9">
        <f t="shared" si="0"/>
        <v>1.375</v>
      </c>
      <c r="O98" s="9">
        <f t="shared" si="1"/>
        <v>346.40967744348706</v>
      </c>
      <c r="P98" s="9">
        <f t="shared" si="2"/>
        <v>112.65554906232148</v>
      </c>
      <c r="R98" s="9">
        <v>38</v>
      </c>
      <c r="S98" s="9" t="s">
        <v>258</v>
      </c>
      <c r="T98" s="9" t="s">
        <v>250</v>
      </c>
    </row>
    <row r="99" spans="1:20" ht="12.75" hidden="1">
      <c r="A99" s="9" t="str">
        <f t="shared" si="3"/>
        <v>39) 300# 20"</v>
      </c>
      <c r="D99" s="9">
        <v>24</v>
      </c>
      <c r="E99" s="9">
        <v>1.25</v>
      </c>
      <c r="F99" s="9">
        <v>27</v>
      </c>
      <c r="I99" s="9">
        <v>20</v>
      </c>
      <c r="J99" s="9">
        <v>25.75</v>
      </c>
      <c r="K99" s="9">
        <v>19.25</v>
      </c>
      <c r="L99" s="9">
        <v>30.5</v>
      </c>
      <c r="M99" s="9">
        <v>23</v>
      </c>
      <c r="N99" s="9">
        <f t="shared" si="0"/>
        <v>1.375</v>
      </c>
      <c r="O99" s="9">
        <f t="shared" si="1"/>
        <v>403.9400929123501</v>
      </c>
      <c r="P99" s="9">
        <f t="shared" si="2"/>
        <v>124.43652151328321</v>
      </c>
      <c r="R99" s="9">
        <v>39</v>
      </c>
      <c r="S99" s="9" t="s">
        <v>258</v>
      </c>
      <c r="T99" s="9" t="s">
        <v>251</v>
      </c>
    </row>
    <row r="100" spans="1:20" ht="12.75" hidden="1">
      <c r="A100" s="9" t="str">
        <f t="shared" si="3"/>
        <v>40) 300# 24"</v>
      </c>
      <c r="D100" s="9">
        <v>24</v>
      </c>
      <c r="E100" s="9">
        <v>1.5</v>
      </c>
      <c r="F100" s="9">
        <v>32</v>
      </c>
      <c r="I100" s="9">
        <v>24</v>
      </c>
      <c r="J100" s="9">
        <v>30.5</v>
      </c>
      <c r="K100" s="9">
        <v>23.25</v>
      </c>
      <c r="L100" s="9">
        <v>36</v>
      </c>
      <c r="M100" s="9">
        <v>27.25</v>
      </c>
      <c r="N100" s="9">
        <f t="shared" si="0"/>
        <v>1.625</v>
      </c>
      <c r="O100" s="9">
        <f t="shared" si="1"/>
        <v>543.5446164562466</v>
      </c>
      <c r="P100" s="9">
        <f t="shared" si="2"/>
        <v>158.65042900628455</v>
      </c>
      <c r="R100" s="9">
        <v>40</v>
      </c>
      <c r="S100" s="9" t="s">
        <v>258</v>
      </c>
      <c r="T100" s="9" t="s">
        <v>252</v>
      </c>
    </row>
  </sheetData>
  <sheetProtection password="C612" sheet="1" objects="1" scenarios="1"/>
  <mergeCells count="13">
    <mergeCell ref="B20:C21"/>
    <mergeCell ref="B22:C23"/>
    <mergeCell ref="B26:C27"/>
    <mergeCell ref="B5:G6"/>
    <mergeCell ref="D9:G10"/>
    <mergeCell ref="D11:E11"/>
    <mergeCell ref="N59:O59"/>
    <mergeCell ref="B45:G47"/>
    <mergeCell ref="D22:G23"/>
    <mergeCell ref="D20:G21"/>
    <mergeCell ref="B42:F43"/>
    <mergeCell ref="B36:F37"/>
    <mergeCell ref="D26:G27"/>
  </mergeCells>
  <conditionalFormatting sqref="G36:G37">
    <cfRule type="cellIs" priority="3" dxfId="33" operator="greaterThan" stopIfTrue="1">
      <formula>"Gasket"</formula>
    </cfRule>
  </conditionalFormatting>
  <conditionalFormatting sqref="G42:G44 C44:F44">
    <cfRule type="cellIs" priority="4" dxfId="33" operator="greaterThan" stopIfTrue="1">
      <formula>"bolt"</formula>
    </cfRule>
  </conditionalFormatting>
  <conditionalFormatting sqref="B36:F37 B42:F43">
    <cfRule type="cellIs" priority="5" dxfId="34" operator="greaterThan" stopIfTrue="1">
      <formula>"bolt"</formula>
    </cfRule>
  </conditionalFormatting>
  <conditionalFormatting sqref="B45:G47">
    <cfRule type="cellIs" priority="6" dxfId="34" operator="greaterThan" stopIfTrue="1">
      <formula>"it"</formula>
    </cfRule>
  </conditionalFormatting>
  <dataValidations count="5">
    <dataValidation type="list" allowBlank="1" showInputMessage="1" showErrorMessage="1" sqref="D20:G21">
      <formula1>Gasket_Material</formula1>
    </dataValidation>
    <dataValidation type="list" allowBlank="1" showInputMessage="1" showErrorMessage="1" sqref="D9:G10">
      <formula1>ANSI_Flanges</formula1>
    </dataValidation>
    <dataValidation type="list" allowBlank="1" showInputMessage="1" showErrorMessage="1" sqref="D11:E11">
      <formula1>$O$60:$P$60</formula1>
    </dataValidation>
    <dataValidation type="list" allowBlank="1" showInputMessage="1" showErrorMessage="1" sqref="D26:G27">
      <formula1>Bolt_Grade</formula1>
    </dataValidation>
    <dataValidation allowBlank="1" showInputMessage="1" showErrorMessage="1" promptTitle="Suggested &quot;k&quot; Factor Values:" prompt="Lubricated bolt with washers: 0.16&#10;&#10;Lubricated bolt without washers: 0.19&#10;&#10;Unlubricated bolt with washers: 0.25&#10;&#10;Unlubricated bolt without washers: 0.36" sqref="D29"/>
  </dataValidations>
  <printOptions horizontalCentered="1" verticalCentered="1"/>
  <pageMargins left="0.75" right="0.75" top="1" bottom="1" header="0.5" footer="0.5"/>
  <pageSetup horizontalDpi="96" verticalDpi="96" orientation="portrait" r:id="rId2"/>
  <drawing r:id="rId1"/>
</worksheet>
</file>

<file path=xl/worksheets/sheet5.xml><?xml version="1.0" encoding="utf-8"?>
<worksheet xmlns="http://schemas.openxmlformats.org/spreadsheetml/2006/main" xmlns:r="http://schemas.openxmlformats.org/officeDocument/2006/relationships">
  <sheetPr codeName="Sheet8"/>
  <dimension ref="A1:Q64"/>
  <sheetViews>
    <sheetView zoomScalePageLayoutView="0" workbookViewId="0" topLeftCell="A1">
      <selection activeCell="D8" sqref="D8:H9"/>
    </sheetView>
  </sheetViews>
  <sheetFormatPr defaultColWidth="0" defaultRowHeight="12.75" zeroHeight="1"/>
  <cols>
    <col min="1" max="1" width="12.7109375" style="9" customWidth="1"/>
    <col min="2" max="5" width="9.140625" style="9" customWidth="1"/>
    <col min="6" max="6" width="7.7109375" style="9" customWidth="1"/>
    <col min="7" max="9" width="9.140625" style="9" customWidth="1"/>
    <col min="10" max="23" width="9.28125" style="9" hidden="1" customWidth="1"/>
    <col min="24" max="16384" width="9.140625" style="9" hidden="1" customWidth="1"/>
  </cols>
  <sheetData>
    <row r="1" spans="1:9" ht="12.75">
      <c r="A1" s="7"/>
      <c r="B1" s="7"/>
      <c r="C1" s="7"/>
      <c r="D1" s="7"/>
      <c r="E1" s="7"/>
      <c r="F1" s="7"/>
      <c r="G1" s="7"/>
      <c r="H1" s="8"/>
      <c r="I1" s="7"/>
    </row>
    <row r="2" spans="1:9" ht="25.5">
      <c r="A2" s="7"/>
      <c r="B2" s="7"/>
      <c r="C2" s="7"/>
      <c r="E2" s="7"/>
      <c r="G2" s="107"/>
      <c r="H2" s="107"/>
      <c r="I2" s="7"/>
    </row>
    <row r="3" spans="1:9" ht="25.5">
      <c r="A3" s="7"/>
      <c r="B3" s="7"/>
      <c r="C3" s="7"/>
      <c r="D3" s="7"/>
      <c r="E3" s="7"/>
      <c r="F3" s="107"/>
      <c r="G3" s="107"/>
      <c r="H3" s="107"/>
      <c r="I3" s="7"/>
    </row>
    <row r="4" spans="1:9" ht="15" customHeight="1">
      <c r="A4" s="7"/>
      <c r="B4" s="7"/>
      <c r="C4" s="7"/>
      <c r="D4" s="7"/>
      <c r="F4" s="107"/>
      <c r="G4" s="107"/>
      <c r="H4" s="107"/>
      <c r="I4" s="7"/>
    </row>
    <row r="5" spans="1:9" ht="26.25">
      <c r="A5" s="148" t="s">
        <v>191</v>
      </c>
      <c r="B5" s="149"/>
      <c r="C5" s="149"/>
      <c r="D5" s="149"/>
      <c r="E5" s="149"/>
      <c r="F5" s="149"/>
      <c r="G5" s="149"/>
      <c r="H5" s="149"/>
      <c r="I5" s="149"/>
    </row>
    <row r="6" spans="1:9" ht="12.75">
      <c r="A6" s="7"/>
      <c r="B6" s="7"/>
      <c r="C6" s="7"/>
      <c r="D6" s="7"/>
      <c r="E6" s="7"/>
      <c r="F6" s="7"/>
      <c r="G6" s="7"/>
      <c r="H6" s="8"/>
      <c r="I6" s="7"/>
    </row>
    <row r="7" spans="1:9" s="61" customFormat="1" ht="12.75" customHeight="1">
      <c r="A7" s="76"/>
      <c r="B7" s="76"/>
      <c r="C7" s="77"/>
      <c r="D7" s="77"/>
      <c r="E7" s="77"/>
      <c r="F7" s="77"/>
      <c r="G7" s="77"/>
      <c r="H7" s="76"/>
      <c r="I7" s="76"/>
    </row>
    <row r="8" spans="1:9" s="61" customFormat="1" ht="18" customHeight="1">
      <c r="A8" s="154" t="s">
        <v>210</v>
      </c>
      <c r="B8" s="160"/>
      <c r="C8" s="160"/>
      <c r="D8" s="161"/>
      <c r="E8" s="162"/>
      <c r="F8" s="162"/>
      <c r="G8" s="162"/>
      <c r="H8" s="162"/>
      <c r="I8" s="76"/>
    </row>
    <row r="9" spans="1:9" s="61" customFormat="1" ht="18">
      <c r="A9" s="160"/>
      <c r="B9" s="160"/>
      <c r="C9" s="160"/>
      <c r="D9" s="162"/>
      <c r="E9" s="162"/>
      <c r="F9" s="162"/>
      <c r="G9" s="162"/>
      <c r="H9" s="162"/>
      <c r="I9" s="76"/>
    </row>
    <row r="10" spans="1:9" s="61" customFormat="1" ht="9" customHeight="1">
      <c r="A10" s="76"/>
      <c r="B10" s="76"/>
      <c r="C10" s="78"/>
      <c r="D10" s="77"/>
      <c r="E10" s="81"/>
      <c r="F10" s="81"/>
      <c r="G10" s="81"/>
      <c r="H10" s="81"/>
      <c r="I10" s="76"/>
    </row>
    <row r="11" spans="1:9" s="61" customFormat="1" ht="18">
      <c r="A11" s="76"/>
      <c r="B11" s="76"/>
      <c r="C11" s="78" t="s">
        <v>209</v>
      </c>
      <c r="D11" s="158"/>
      <c r="E11" s="159"/>
      <c r="F11" s="159"/>
      <c r="G11" s="159"/>
      <c r="H11" s="159"/>
      <c r="I11" s="76"/>
    </row>
    <row r="12" spans="1:9" s="61" customFormat="1" ht="9" customHeight="1">
      <c r="A12" s="76"/>
      <c r="B12" s="76"/>
      <c r="C12" s="78"/>
      <c r="D12" s="77"/>
      <c r="E12" s="81"/>
      <c r="F12" s="81"/>
      <c r="G12" s="81"/>
      <c r="H12" s="81"/>
      <c r="I12" s="76"/>
    </row>
    <row r="13" spans="1:9" s="61" customFormat="1" ht="18">
      <c r="A13" s="154" t="s">
        <v>211</v>
      </c>
      <c r="B13" s="155"/>
      <c r="C13" s="155"/>
      <c r="D13" s="157"/>
      <c r="E13" s="157"/>
      <c r="F13" s="157"/>
      <c r="G13" s="157"/>
      <c r="H13" s="157"/>
      <c r="I13" s="76"/>
    </row>
    <row r="14" spans="1:9" s="61" customFormat="1" ht="18">
      <c r="A14" s="155"/>
      <c r="B14" s="155"/>
      <c r="C14" s="155"/>
      <c r="D14" s="157"/>
      <c r="E14" s="157"/>
      <c r="F14" s="157"/>
      <c r="G14" s="157"/>
      <c r="H14" s="157"/>
      <c r="I14" s="76"/>
    </row>
    <row r="15" spans="1:9" s="61" customFormat="1" ht="9" customHeight="1">
      <c r="A15" s="32"/>
      <c r="B15" s="32"/>
      <c r="C15" s="32"/>
      <c r="D15" s="82"/>
      <c r="E15" s="82"/>
      <c r="F15" s="82"/>
      <c r="G15" s="82"/>
      <c r="H15" s="82"/>
      <c r="I15" s="76"/>
    </row>
    <row r="16" spans="1:9" s="61" customFormat="1" ht="18">
      <c r="A16" s="76"/>
      <c r="B16" s="76"/>
      <c r="C16" s="81"/>
      <c r="D16" s="152">
        <f>IF('ANSI Flanges'!D9=0,"",CONCATENATE(RIGHT('ANSI Flanges'!D9,LEN('ANSI Flanges'!D9)-FIND(")",'ANSI Flanges'!D9)-1)," Flange with a ",'ANSI Flanges'!D11))</f>
      </c>
      <c r="E16" s="153"/>
      <c r="F16" s="153"/>
      <c r="G16" s="153"/>
      <c r="H16" s="153"/>
      <c r="I16" s="76"/>
    </row>
    <row r="17" spans="1:12" s="61" customFormat="1" ht="18">
      <c r="A17" s="76"/>
      <c r="B17" s="81"/>
      <c r="C17" s="79" t="s">
        <v>11</v>
      </c>
      <c r="D17" s="153"/>
      <c r="E17" s="153"/>
      <c r="F17" s="153"/>
      <c r="G17" s="153"/>
      <c r="H17" s="153"/>
      <c r="I17" s="76"/>
      <c r="J17" s="62"/>
      <c r="K17" s="63"/>
      <c r="L17" s="64"/>
    </row>
    <row r="18" spans="1:12" s="61" customFormat="1" ht="18">
      <c r="A18" s="76"/>
      <c r="B18" s="83"/>
      <c r="C18" s="83"/>
      <c r="D18" s="153"/>
      <c r="E18" s="153"/>
      <c r="F18" s="153"/>
      <c r="G18" s="153"/>
      <c r="H18" s="153"/>
      <c r="I18" s="76"/>
      <c r="J18" s="62"/>
      <c r="K18" s="63"/>
      <c r="L18" s="64"/>
    </row>
    <row r="19" spans="1:12" s="61" customFormat="1" ht="9" customHeight="1">
      <c r="A19" s="76"/>
      <c r="B19" s="83"/>
      <c r="C19" s="83"/>
      <c r="D19" s="32"/>
      <c r="E19" s="32"/>
      <c r="F19" s="32"/>
      <c r="G19" s="32"/>
      <c r="H19" s="32"/>
      <c r="I19" s="76"/>
      <c r="J19" s="62"/>
      <c r="K19" s="63"/>
      <c r="L19" s="64"/>
    </row>
    <row r="20" spans="1:12" s="61" customFormat="1" ht="18" customHeight="1">
      <c r="A20" s="154" t="s">
        <v>215</v>
      </c>
      <c r="B20" s="155"/>
      <c r="C20" s="155"/>
      <c r="D20" s="152">
        <f>IF('ANSI Flanges'!D26=0,"",'ANSI Flanges'!D26)</f>
      </c>
      <c r="E20" s="156"/>
      <c r="F20" s="156"/>
      <c r="G20" s="156"/>
      <c r="H20" s="156"/>
      <c r="I20" s="76"/>
      <c r="J20" s="62"/>
      <c r="K20" s="63"/>
      <c r="L20" s="64"/>
    </row>
    <row r="21" spans="1:12" s="61" customFormat="1" ht="18">
      <c r="A21" s="155"/>
      <c r="B21" s="155"/>
      <c r="C21" s="155"/>
      <c r="D21" s="156"/>
      <c r="E21" s="156"/>
      <c r="F21" s="156"/>
      <c r="G21" s="156"/>
      <c r="H21" s="156"/>
      <c r="I21" s="76"/>
      <c r="J21" s="62"/>
      <c r="K21" s="63"/>
      <c r="L21" s="64"/>
    </row>
    <row r="22" spans="1:12" s="61" customFormat="1" ht="9" customHeight="1">
      <c r="A22" s="76"/>
      <c r="B22" s="83"/>
      <c r="C22" s="83"/>
      <c r="D22" s="32"/>
      <c r="E22" s="32"/>
      <c r="F22" s="32"/>
      <c r="G22" s="32"/>
      <c r="H22" s="32"/>
      <c r="I22" s="76"/>
      <c r="J22" s="62"/>
      <c r="K22" s="63"/>
      <c r="L22" s="64"/>
    </row>
    <row r="23" spans="1:12" s="61" customFormat="1" ht="18" customHeight="1">
      <c r="A23" s="154" t="s">
        <v>207</v>
      </c>
      <c r="B23" s="155"/>
      <c r="C23" s="155"/>
      <c r="D23" s="152">
        <f>IF('ANSI Flanges'!D20=0,"",'ANSI Flanges'!D20)</f>
      </c>
      <c r="E23" s="156"/>
      <c r="F23" s="156"/>
      <c r="G23" s="156"/>
      <c r="H23" s="156"/>
      <c r="I23" s="76"/>
      <c r="J23" s="62"/>
      <c r="K23" s="63"/>
      <c r="L23" s="64"/>
    </row>
    <row r="24" spans="1:12" s="61" customFormat="1" ht="18">
      <c r="A24" s="155"/>
      <c r="B24" s="155"/>
      <c r="C24" s="155"/>
      <c r="D24" s="156"/>
      <c r="E24" s="156"/>
      <c r="F24" s="156"/>
      <c r="G24" s="156"/>
      <c r="H24" s="156"/>
      <c r="I24" s="76"/>
      <c r="J24" s="62"/>
      <c r="K24" s="63"/>
      <c r="L24" s="64"/>
    </row>
    <row r="25" spans="1:12" s="61" customFormat="1" ht="9" customHeight="1">
      <c r="A25" s="32"/>
      <c r="B25" s="32"/>
      <c r="C25" s="32"/>
      <c r="D25" s="84"/>
      <c r="E25" s="84"/>
      <c r="F25" s="84"/>
      <c r="G25" s="84"/>
      <c r="H25" s="84"/>
      <c r="I25" s="76"/>
      <c r="J25" s="62"/>
      <c r="K25" s="63"/>
      <c r="L25" s="64"/>
    </row>
    <row r="26" spans="1:12" s="61" customFormat="1" ht="18">
      <c r="A26" s="154" t="s">
        <v>208</v>
      </c>
      <c r="B26" s="155"/>
      <c r="C26" s="155"/>
      <c r="D26" s="157"/>
      <c r="E26" s="157"/>
      <c r="F26" s="157"/>
      <c r="G26" s="157"/>
      <c r="H26" s="157"/>
      <c r="I26" s="76"/>
      <c r="J26" s="62"/>
      <c r="K26" s="63"/>
      <c r="L26" s="64"/>
    </row>
    <row r="27" spans="1:12" s="61" customFormat="1" ht="18">
      <c r="A27" s="155"/>
      <c r="B27" s="155"/>
      <c r="C27" s="155"/>
      <c r="D27" s="157"/>
      <c r="E27" s="157"/>
      <c r="F27" s="157"/>
      <c r="G27" s="157"/>
      <c r="H27" s="157"/>
      <c r="I27" s="76"/>
      <c r="J27" s="62"/>
      <c r="K27" s="63"/>
      <c r="L27" s="64"/>
    </row>
    <row r="28" spans="1:12" s="61" customFormat="1" ht="9" customHeight="1">
      <c r="A28" s="76"/>
      <c r="B28" s="76"/>
      <c r="C28" s="76"/>
      <c r="D28" s="76"/>
      <c r="E28" s="76"/>
      <c r="F28" s="76"/>
      <c r="G28" s="76"/>
      <c r="H28" s="76"/>
      <c r="I28" s="80"/>
      <c r="J28" s="62"/>
      <c r="K28" s="63"/>
      <c r="L28" s="64"/>
    </row>
    <row r="29" spans="1:9" s="61" customFormat="1" ht="18">
      <c r="A29" s="76"/>
      <c r="B29" s="76"/>
      <c r="C29" s="76"/>
      <c r="D29" s="76"/>
      <c r="E29" s="78" t="s">
        <v>213</v>
      </c>
      <c r="F29" s="94" t="e">
        <f>('ANSI Flanges'!D32+'ANSI Flanges'!D38)/2*1/3</f>
        <v>#VALUE!</v>
      </c>
      <c r="G29" s="95" t="s">
        <v>160</v>
      </c>
      <c r="H29" s="76"/>
      <c r="I29" s="80"/>
    </row>
    <row r="30" spans="1:9" s="61" customFormat="1" ht="18">
      <c r="A30" s="76"/>
      <c r="B30" s="76"/>
      <c r="C30" s="76"/>
      <c r="D30" s="76"/>
      <c r="E30" s="78" t="s">
        <v>214</v>
      </c>
      <c r="F30" s="94" t="e">
        <f>('ANSI Flanges'!D32+'ANSI Flanges'!D38)/2*2/3</f>
        <v>#VALUE!</v>
      </c>
      <c r="G30" s="95" t="s">
        <v>160</v>
      </c>
      <c r="H30" s="76"/>
      <c r="I30" s="80"/>
    </row>
    <row r="31" spans="1:13" s="61" customFormat="1" ht="18">
      <c r="A31" s="76"/>
      <c r="B31" s="76"/>
      <c r="C31" s="76"/>
      <c r="D31" s="76"/>
      <c r="E31" s="78" t="s">
        <v>212</v>
      </c>
      <c r="F31" s="94" t="e">
        <f>('ANSI Flanges'!D32+'ANSI Flanges'!D38)/2</f>
        <v>#VALUE!</v>
      </c>
      <c r="G31" s="95" t="s">
        <v>160</v>
      </c>
      <c r="H31" s="76"/>
      <c r="I31" s="76"/>
      <c r="J31" s="64"/>
      <c r="K31" s="62"/>
      <c r="L31" s="64"/>
      <c r="M31" s="64"/>
    </row>
    <row r="32" spans="1:13" s="61" customFormat="1" ht="9" customHeight="1">
      <c r="A32" s="76"/>
      <c r="B32" s="76"/>
      <c r="C32" s="76"/>
      <c r="D32" s="76"/>
      <c r="E32" s="80"/>
      <c r="F32" s="80"/>
      <c r="G32" s="80"/>
      <c r="H32" s="76"/>
      <c r="I32" s="76"/>
      <c r="J32" s="66"/>
      <c r="K32" s="62"/>
      <c r="L32" s="67"/>
      <c r="M32" s="64"/>
    </row>
    <row r="33" spans="1:12" s="61" customFormat="1" ht="18">
      <c r="A33" s="76"/>
      <c r="B33" s="150">
        <f>'Standard Applications'!B46</f>
      </c>
      <c r="C33" s="151"/>
      <c r="D33" s="151"/>
      <c r="E33" s="151"/>
      <c r="F33" s="151"/>
      <c r="G33" s="151"/>
      <c r="H33" s="151"/>
      <c r="I33" s="76"/>
      <c r="K33" s="62"/>
      <c r="L33" s="68"/>
    </row>
    <row r="34" spans="1:12" s="61" customFormat="1" ht="18">
      <c r="A34" s="76"/>
      <c r="B34" s="151"/>
      <c r="C34" s="151"/>
      <c r="D34" s="151"/>
      <c r="E34" s="151"/>
      <c r="F34" s="151"/>
      <c r="G34" s="151"/>
      <c r="H34" s="151"/>
      <c r="I34" s="76"/>
      <c r="K34" s="62"/>
      <c r="L34" s="69"/>
    </row>
    <row r="35" spans="1:9" s="61" customFormat="1" ht="18">
      <c r="A35" s="76"/>
      <c r="B35" s="151"/>
      <c r="C35" s="151"/>
      <c r="D35" s="151"/>
      <c r="E35" s="151"/>
      <c r="F35" s="151"/>
      <c r="G35" s="151"/>
      <c r="H35" s="151"/>
      <c r="I35" s="76"/>
    </row>
    <row r="36" spans="1:12" s="61" customFormat="1" ht="18">
      <c r="A36" s="76"/>
      <c r="B36" s="76"/>
      <c r="C36" s="76"/>
      <c r="D36" s="76"/>
      <c r="E36" s="76"/>
      <c r="F36" s="76"/>
      <c r="G36" s="76"/>
      <c r="H36" s="76"/>
      <c r="I36" s="76"/>
      <c r="K36" s="62"/>
      <c r="L36" s="68"/>
    </row>
    <row r="37" spans="11:13" s="61" customFormat="1" ht="18" hidden="1">
      <c r="K37" s="62"/>
      <c r="L37" s="67"/>
      <c r="M37" s="64"/>
    </row>
    <row r="38" spans="11:13" s="61" customFormat="1" ht="18" hidden="1">
      <c r="K38" s="62"/>
      <c r="L38" s="70"/>
      <c r="M38" s="64"/>
    </row>
    <row r="39" spans="11:13" s="61" customFormat="1" ht="18" hidden="1">
      <c r="K39" s="62"/>
      <c r="L39" s="69"/>
      <c r="M39" s="71"/>
    </row>
    <row r="40" s="61" customFormat="1" ht="18" hidden="1"/>
    <row r="41" spans="11:13" s="61" customFormat="1" ht="18" hidden="1">
      <c r="K41" s="62"/>
      <c r="L41" s="64"/>
      <c r="M41" s="64"/>
    </row>
    <row r="42" spans="11:13" s="61" customFormat="1" ht="18" hidden="1">
      <c r="K42" s="62"/>
      <c r="L42" s="67"/>
      <c r="M42" s="64"/>
    </row>
    <row r="43" spans="3:17" s="61" customFormat="1" ht="18.75" hidden="1">
      <c r="C43" s="62"/>
      <c r="D43" s="65"/>
      <c r="F43" s="64"/>
      <c r="G43" s="64"/>
      <c r="K43" s="62"/>
      <c r="L43" s="68"/>
      <c r="N43" s="85"/>
      <c r="O43" s="85"/>
      <c r="P43" s="85"/>
      <c r="Q43" s="85"/>
    </row>
    <row r="44" spans="11:13" s="61" customFormat="1" ht="18" hidden="1">
      <c r="K44" s="62"/>
      <c r="L44" s="69"/>
      <c r="M44" s="71"/>
    </row>
    <row r="45" spans="6:7" s="61" customFormat="1" ht="18" hidden="1">
      <c r="F45" s="64"/>
      <c r="G45" s="64"/>
    </row>
    <row r="46" spans="11:12" s="61" customFormat="1" ht="12.75" customHeight="1" hidden="1">
      <c r="K46" s="62"/>
      <c r="L46" s="68"/>
    </row>
    <row r="47" spans="6:13" s="61" customFormat="1" ht="12.75" customHeight="1" hidden="1">
      <c r="F47" s="72"/>
      <c r="G47" s="73"/>
      <c r="K47" s="62"/>
      <c r="L47" s="67"/>
      <c r="M47" s="64"/>
    </row>
    <row r="48" spans="6:13" s="61" customFormat="1" ht="18" hidden="1">
      <c r="F48" s="72"/>
      <c r="G48" s="73"/>
      <c r="K48" s="62"/>
      <c r="L48" s="70"/>
      <c r="M48" s="64"/>
    </row>
    <row r="49" spans="3:12" s="61" customFormat="1" ht="18" hidden="1">
      <c r="C49" s="62"/>
      <c r="D49" s="65"/>
      <c r="K49" s="62"/>
      <c r="L49" s="69"/>
    </row>
    <row r="50" spans="3:4" s="61" customFormat="1" ht="18" hidden="1">
      <c r="C50" s="62"/>
      <c r="D50" s="68"/>
    </row>
    <row r="51" spans="3:4" s="61" customFormat="1" ht="18" hidden="1">
      <c r="C51" s="62"/>
      <c r="D51" s="68"/>
    </row>
    <row r="52" spans="3:4" s="61" customFormat="1" ht="12.75" customHeight="1" hidden="1">
      <c r="C52" s="62"/>
      <c r="D52" s="74"/>
    </row>
    <row r="53" spans="3:7" s="61" customFormat="1" ht="18" hidden="1">
      <c r="C53" s="64"/>
      <c r="D53" s="64"/>
      <c r="E53" s="64"/>
      <c r="F53" s="64"/>
      <c r="G53" s="75"/>
    </row>
    <row r="54" spans="3:7" s="61" customFormat="1" ht="18" hidden="1">
      <c r="C54" s="64"/>
      <c r="D54" s="64"/>
      <c r="E54" s="64"/>
      <c r="F54" s="64"/>
      <c r="G54" s="75"/>
    </row>
    <row r="55" spans="3:7" s="61" customFormat="1" ht="18" hidden="1">
      <c r="C55" s="73"/>
      <c r="D55" s="73"/>
      <c r="E55" s="73"/>
      <c r="F55" s="73"/>
      <c r="G55" s="73"/>
    </row>
    <row r="56" spans="3:7" ht="12.75" customHeight="1" hidden="1">
      <c r="C56" s="60"/>
      <c r="D56" s="60"/>
      <c r="E56" s="60"/>
      <c r="F56" s="60"/>
      <c r="G56" s="60"/>
    </row>
    <row r="57" spans="2:7" ht="12.75" hidden="1">
      <c r="B57" s="60"/>
      <c r="C57" s="60"/>
      <c r="D57" s="60"/>
      <c r="E57" s="60"/>
      <c r="F57" s="60"/>
      <c r="G57" s="60"/>
    </row>
    <row r="58" spans="2:15" ht="12.75" hidden="1">
      <c r="B58" s="60"/>
      <c r="C58" s="60"/>
      <c r="D58" s="60"/>
      <c r="E58" s="60"/>
      <c r="F58" s="60"/>
      <c r="G58" s="60"/>
      <c r="L58" s="12"/>
      <c r="M58" s="12"/>
      <c r="N58" s="12"/>
      <c r="O58" s="12"/>
    </row>
    <row r="59" spans="1:9" s="12" customFormat="1" ht="12.75" hidden="1">
      <c r="A59" s="9"/>
      <c r="B59" s="9"/>
      <c r="C59" s="9"/>
      <c r="D59" s="9"/>
      <c r="E59" s="9"/>
      <c r="F59" s="9"/>
      <c r="G59" s="9"/>
      <c r="H59" s="9"/>
      <c r="I59" s="59"/>
    </row>
    <row r="60" spans="1:9" s="12" customFormat="1" ht="12.75" hidden="1">
      <c r="A60" s="9"/>
      <c r="B60" s="59"/>
      <c r="C60" s="59"/>
      <c r="D60" s="59"/>
      <c r="E60" s="59"/>
      <c r="F60" s="59"/>
      <c r="G60" s="59"/>
      <c r="H60" s="59"/>
      <c r="I60" s="59"/>
    </row>
    <row r="61" spans="1:9" s="12" customFormat="1" ht="12.75" hidden="1">
      <c r="A61" s="9"/>
      <c r="B61" s="59"/>
      <c r="C61" s="59"/>
      <c r="D61" s="59"/>
      <c r="E61" s="59"/>
      <c r="F61" s="59"/>
      <c r="G61" s="59"/>
      <c r="H61" s="59"/>
      <c r="I61" s="59"/>
    </row>
    <row r="62" spans="1:11" s="12" customFormat="1" ht="12.75" hidden="1">
      <c r="A62" s="9"/>
      <c r="B62" s="9"/>
      <c r="C62" s="9"/>
      <c r="D62" s="9"/>
      <c r="E62" s="9"/>
      <c r="G62" s="9"/>
      <c r="H62" s="9"/>
      <c r="I62" s="9"/>
      <c r="J62" s="9"/>
      <c r="K62" s="9"/>
    </row>
    <row r="63" spans="1:11" s="12" customFormat="1" ht="12.75" hidden="1">
      <c r="A63" s="9"/>
      <c r="B63" s="9"/>
      <c r="C63" s="9"/>
      <c r="D63" s="9"/>
      <c r="E63" s="9"/>
      <c r="G63" s="9"/>
      <c r="H63" s="9"/>
      <c r="I63" s="9"/>
      <c r="J63" s="9"/>
      <c r="K63" s="9"/>
    </row>
    <row r="64" spans="1:11" s="12" customFormat="1" ht="12.75" hidden="1">
      <c r="A64" s="9"/>
      <c r="B64" s="9"/>
      <c r="C64" s="9"/>
      <c r="D64" s="9"/>
      <c r="E64" s="9"/>
      <c r="G64" s="9"/>
      <c r="H64" s="9"/>
      <c r="I64" s="9"/>
      <c r="J64" s="9"/>
      <c r="K64" s="9"/>
    </row>
    <row r="65" ht="12.75" hidden="1"/>
    <row r="66" ht="12.75" hidden="1"/>
    <row r="67" ht="12.75" hidden="1"/>
    <row r="68" ht="12.75"/>
  </sheetData>
  <sheetProtection password="C612" sheet="1" objects="1" scenarios="1"/>
  <mergeCells count="14">
    <mergeCell ref="B33:H35"/>
    <mergeCell ref="D16:H18"/>
    <mergeCell ref="A20:C21"/>
    <mergeCell ref="D20:H21"/>
    <mergeCell ref="A23:C24"/>
    <mergeCell ref="D23:H24"/>
    <mergeCell ref="A26:C27"/>
    <mergeCell ref="D26:H27"/>
    <mergeCell ref="A13:C14"/>
    <mergeCell ref="A5:I5"/>
    <mergeCell ref="D13:H14"/>
    <mergeCell ref="D11:H11"/>
    <mergeCell ref="A8:C9"/>
    <mergeCell ref="D8:H9"/>
  </mergeCells>
  <conditionalFormatting sqref="G47:G48">
    <cfRule type="cellIs" priority="1" dxfId="33" operator="greaterThan" stopIfTrue="1">
      <formula>"Gasket"</formula>
    </cfRule>
  </conditionalFormatting>
  <conditionalFormatting sqref="C53:G55 F47:F48">
    <cfRule type="cellIs" priority="2" dxfId="33" operator="greaterThan" stopIfTrue="1">
      <formula>"bolt"</formula>
    </cfRule>
  </conditionalFormatting>
  <conditionalFormatting sqref="C56:G58 B57:B58">
    <cfRule type="cellIs" priority="3" dxfId="33" operator="greaterThan" stopIfTrue="1">
      <formula>"it"</formula>
    </cfRule>
  </conditionalFormatting>
  <conditionalFormatting sqref="B33:H35">
    <cfRule type="cellIs" priority="4" dxfId="34" operator="greaterThan" stopIfTrue="1">
      <formula>"bolt"</formula>
    </cfRule>
  </conditionalFormatting>
  <printOptions horizontalCentered="1" verticalCentered="1"/>
  <pageMargins left="0.5" right="0.75" top="1" bottom="1" header="0.5" footer="0.5"/>
  <pageSetup horizontalDpi="96" verticalDpi="96" orientation="portrait" r:id="rId2"/>
  <drawing r:id="rId1"/>
</worksheet>
</file>

<file path=xl/worksheets/sheet6.xml><?xml version="1.0" encoding="utf-8"?>
<worksheet xmlns="http://schemas.openxmlformats.org/spreadsheetml/2006/main" xmlns:r="http://schemas.openxmlformats.org/officeDocument/2006/relationships">
  <sheetPr codeName="Sheet3"/>
  <dimension ref="A1:O98"/>
  <sheetViews>
    <sheetView zoomScalePageLayoutView="0" workbookViewId="0" topLeftCell="A1">
      <selection activeCell="D8" sqref="D8:H9"/>
    </sheetView>
  </sheetViews>
  <sheetFormatPr defaultColWidth="0" defaultRowHeight="12.75" zeroHeight="1"/>
  <cols>
    <col min="1" max="8" width="9.00390625" style="9" customWidth="1"/>
    <col min="9" max="9" width="12.8515625" style="9" hidden="1" customWidth="1"/>
    <col min="10" max="10" width="11.140625" style="9" hidden="1" customWidth="1"/>
    <col min="11" max="11" width="10.421875" style="9" hidden="1" customWidth="1"/>
    <col min="12" max="12" width="10.7109375" style="9" hidden="1" customWidth="1"/>
    <col min="13" max="14" width="9.140625" style="9" hidden="1" customWidth="1"/>
    <col min="15" max="16384" width="9.140625" style="9" hidden="1" customWidth="1"/>
  </cols>
  <sheetData>
    <row r="1" spans="1:8" ht="12.75">
      <c r="A1" s="7"/>
      <c r="B1" s="7"/>
      <c r="C1" s="7"/>
      <c r="D1" s="7"/>
      <c r="E1" s="7"/>
      <c r="F1" s="7"/>
      <c r="G1" s="8"/>
      <c r="H1" s="7"/>
    </row>
    <row r="2" spans="1:8" ht="12.75">
      <c r="A2" s="7"/>
      <c r="B2" s="7"/>
      <c r="C2" s="7"/>
      <c r="D2" s="7"/>
      <c r="F2" s="106"/>
      <c r="G2" s="106"/>
      <c r="H2" s="7"/>
    </row>
    <row r="3" spans="1:8" ht="12.75">
      <c r="A3" s="7"/>
      <c r="B3" s="7"/>
      <c r="C3" s="7"/>
      <c r="D3" s="7"/>
      <c r="E3" s="106"/>
      <c r="F3" s="106"/>
      <c r="G3" s="106"/>
      <c r="H3" s="7"/>
    </row>
    <row r="4" spans="1:8" ht="12.75">
      <c r="A4" s="7"/>
      <c r="B4" s="7"/>
      <c r="C4" s="7"/>
      <c r="D4" s="7"/>
      <c r="E4" s="106"/>
      <c r="F4" s="106"/>
      <c r="G4" s="106"/>
      <c r="H4" s="7"/>
    </row>
    <row r="5" spans="1:8" ht="12.75">
      <c r="A5" s="7"/>
      <c r="B5" s="7"/>
      <c r="C5" s="7"/>
      <c r="D5" s="7"/>
      <c r="E5" s="106"/>
      <c r="F5" s="106"/>
      <c r="G5" s="106"/>
      <c r="H5" s="7"/>
    </row>
    <row r="6" spans="1:8" ht="15" customHeight="1">
      <c r="A6" s="171" t="s">
        <v>189</v>
      </c>
      <c r="B6" s="171"/>
      <c r="C6" s="171"/>
      <c r="D6" s="171"/>
      <c r="E6" s="171"/>
      <c r="F6" s="171"/>
      <c r="G6" s="171"/>
      <c r="H6" s="171"/>
    </row>
    <row r="7" spans="1:8" s="114" customFormat="1" ht="21.75" customHeight="1">
      <c r="A7" s="172" t="s">
        <v>297</v>
      </c>
      <c r="B7" s="172"/>
      <c r="C7" s="172"/>
      <c r="D7" s="172"/>
      <c r="E7" s="172"/>
      <c r="F7" s="172"/>
      <c r="G7" s="172"/>
      <c r="H7" s="172"/>
    </row>
    <row r="8" spans="1:8" ht="12.75" customHeight="1">
      <c r="A8" s="7"/>
      <c r="B8" s="41" t="s">
        <v>188</v>
      </c>
      <c r="C8" s="7"/>
      <c r="D8" s="7"/>
      <c r="E8" s="11"/>
      <c r="F8" s="11"/>
      <c r="G8" s="7"/>
      <c r="H8" s="7"/>
    </row>
    <row r="9" spans="1:8" ht="12.75">
      <c r="A9" s="7"/>
      <c r="B9" s="7"/>
      <c r="C9" s="13" t="s">
        <v>141</v>
      </c>
      <c r="D9" s="46"/>
      <c r="E9" s="8" t="s">
        <v>5</v>
      </c>
      <c r="F9" s="11"/>
      <c r="G9" s="7"/>
      <c r="H9" s="7"/>
    </row>
    <row r="10" spans="1:12" ht="12.75" customHeight="1">
      <c r="A10" s="7"/>
      <c r="B10" s="7"/>
      <c r="C10" s="13" t="s">
        <v>142</v>
      </c>
      <c r="D10" s="47"/>
      <c r="E10" s="8" t="s">
        <v>5</v>
      </c>
      <c r="F10" s="11"/>
      <c r="G10" s="7"/>
      <c r="H10" s="7"/>
      <c r="J10" s="15"/>
      <c r="K10" s="16"/>
      <c r="L10" s="17"/>
    </row>
    <row r="11" spans="1:12" ht="12.75">
      <c r="A11" s="7"/>
      <c r="B11" s="7"/>
      <c r="C11" s="13" t="s">
        <v>7</v>
      </c>
      <c r="D11" s="48"/>
      <c r="E11" s="8"/>
      <c r="F11" s="11"/>
      <c r="G11" s="7"/>
      <c r="H11" s="7"/>
      <c r="I11" s="17"/>
      <c r="J11" s="15"/>
      <c r="K11" s="16"/>
      <c r="L11" s="17"/>
    </row>
    <row r="12" spans="1:12" ht="12.75">
      <c r="A12" s="7"/>
      <c r="B12" s="7"/>
      <c r="C12" s="13" t="s">
        <v>8</v>
      </c>
      <c r="D12" s="49"/>
      <c r="E12" s="8" t="s">
        <v>5</v>
      </c>
      <c r="F12" s="11"/>
      <c r="G12" s="7"/>
      <c r="H12" s="7"/>
      <c r="I12" s="17"/>
      <c r="J12" s="15"/>
      <c r="K12" s="16" t="s">
        <v>294</v>
      </c>
      <c r="L12" s="17">
        <v>0</v>
      </c>
    </row>
    <row r="13" spans="1:12" ht="12.75">
      <c r="A13" s="7"/>
      <c r="B13" s="7"/>
      <c r="C13" s="13" t="s">
        <v>114</v>
      </c>
      <c r="D13" s="103"/>
      <c r="E13" s="8" t="s">
        <v>5</v>
      </c>
      <c r="F13" s="11"/>
      <c r="G13" s="7"/>
      <c r="H13" s="7"/>
      <c r="I13" s="17"/>
      <c r="J13" s="15"/>
      <c r="K13" s="16"/>
      <c r="L13" s="17"/>
    </row>
    <row r="14" spans="1:9" ht="12.75">
      <c r="A14" s="7"/>
      <c r="B14" s="7"/>
      <c r="C14" s="13" t="s">
        <v>9</v>
      </c>
      <c r="D14" s="20">
        <f>IF(IF(OR(D13&gt;D10,D13&lt;D9),IF(D13=0,PI()*(D10^2-D9^2)/4,PI()*(D10^2-D9^2)/4),PI()*(D10^2-D9^2)/4-D11*PI()*((D12+1/8)/2)^2)&gt;0,IF(OR(D13&gt;D10,D13&lt;D9),IF(D13=0,PI()*(D10^2-D9^2)/4,PI()*(D10^2-D9^2)/4),PI()*(D10^2-D9^2)/4-D11*PI()*((D12+1/8)/2)^2),"")</f>
      </c>
      <c r="E14" s="8" t="s">
        <v>10</v>
      </c>
      <c r="F14" s="11"/>
      <c r="G14" s="7"/>
      <c r="H14" s="7"/>
      <c r="I14" s="50"/>
    </row>
    <row r="15" spans="1:9" ht="12.75">
      <c r="A15" s="7"/>
      <c r="B15" s="7"/>
      <c r="C15" s="7"/>
      <c r="D15" s="7"/>
      <c r="E15" s="7"/>
      <c r="F15" s="7"/>
      <c r="G15" s="7"/>
      <c r="H15" s="7"/>
      <c r="I15" s="17"/>
    </row>
    <row r="16" spans="1:8" ht="12.75" customHeight="1">
      <c r="A16" s="7"/>
      <c r="B16" s="42" t="s">
        <v>155</v>
      </c>
      <c r="C16" s="7"/>
      <c r="D16" s="21"/>
      <c r="E16" s="11"/>
      <c r="F16" s="11"/>
      <c r="G16" s="7"/>
      <c r="H16" s="7"/>
    </row>
    <row r="17" spans="1:13" ht="12.75" customHeight="1">
      <c r="A17" s="7"/>
      <c r="B17" s="7"/>
      <c r="C17" s="13" t="s">
        <v>12</v>
      </c>
      <c r="D17" s="128"/>
      <c r="E17" s="129"/>
      <c r="F17" s="129"/>
      <c r="G17" s="130"/>
      <c r="H17" s="7"/>
      <c r="J17" s="17"/>
      <c r="K17" s="15" t="s">
        <v>145</v>
      </c>
      <c r="L17" s="17" t="e">
        <f>VLOOKUP(D17,Yield!X2:AA24,3)</f>
        <v>#N/A</v>
      </c>
      <c r="M17" s="17" t="s">
        <v>3</v>
      </c>
    </row>
    <row r="18" spans="1:13" ht="12.75" customHeight="1">
      <c r="A18" s="7"/>
      <c r="B18" s="7"/>
      <c r="C18" s="13"/>
      <c r="D18" s="134"/>
      <c r="E18" s="135"/>
      <c r="F18" s="135"/>
      <c r="G18" s="136"/>
      <c r="H18" s="7"/>
      <c r="J18" s="22"/>
      <c r="K18" s="15" t="s">
        <v>144</v>
      </c>
      <c r="L18" s="113" t="e">
        <f>((($D$9/2)^2*(3.14)*($L$12))+($D$14*($D$21)))/((12*($D$11))/(($D$26)*($D$12)))</f>
        <v>#VALUE!</v>
      </c>
      <c r="M18" s="17" t="s">
        <v>18</v>
      </c>
    </row>
    <row r="19" spans="1:13" ht="12.75">
      <c r="A19" s="7"/>
      <c r="B19" s="7"/>
      <c r="C19" s="13" t="s">
        <v>13</v>
      </c>
      <c r="D19" s="139">
        <f>IF(D17="","",VLOOKUP(D17,Yield!X2:AA24,2))</f>
      </c>
      <c r="E19" s="140"/>
      <c r="F19" s="140"/>
      <c r="G19" s="141"/>
      <c r="H19" s="7"/>
      <c r="K19" s="15" t="s">
        <v>149</v>
      </c>
      <c r="L19" s="24" t="e">
        <f>(12*($L$18)/(($D$26)*($D$12)))/($D$27)</f>
        <v>#VALUE!</v>
      </c>
      <c r="M19" s="9" t="s">
        <v>3</v>
      </c>
    </row>
    <row r="20" spans="1:12" ht="12.75">
      <c r="A20" s="7"/>
      <c r="B20" s="7"/>
      <c r="C20" s="13"/>
      <c r="D20" s="142"/>
      <c r="E20" s="143"/>
      <c r="F20" s="143"/>
      <c r="G20" s="144"/>
      <c r="H20" s="7"/>
      <c r="K20" s="15" t="s">
        <v>148</v>
      </c>
      <c r="L20" s="25" t="e">
        <f>L19/$D$25</f>
        <v>#VALUE!</v>
      </c>
    </row>
    <row r="21" spans="1:8" ht="12.75">
      <c r="A21" s="7"/>
      <c r="B21" s="7"/>
      <c r="C21" s="13" t="s">
        <v>115</v>
      </c>
      <c r="D21" s="39">
        <f>IF(D17="","",VLOOKUP(D17,Yield!X2:AA24,3))</f>
      </c>
      <c r="E21" s="8" t="s">
        <v>3</v>
      </c>
      <c r="F21" s="8"/>
      <c r="G21" s="7"/>
      <c r="H21" s="7"/>
    </row>
    <row r="22" spans="1:13" ht="12.75" customHeight="1">
      <c r="A22" s="7"/>
      <c r="B22" s="7"/>
      <c r="C22" s="13" t="s">
        <v>116</v>
      </c>
      <c r="D22" s="38">
        <f>IF(D17="","",VLOOKUP(D17,Yield!X2:AA24,4))</f>
      </c>
      <c r="E22" s="8" t="s">
        <v>3</v>
      </c>
      <c r="F22" s="8"/>
      <c r="G22" s="7"/>
      <c r="H22" s="7"/>
      <c r="K22" s="15" t="s">
        <v>154</v>
      </c>
      <c r="L22" s="24" t="e">
        <f>((12*($L$23)*($D$11))/(($D$26)*($D$12))-(3.14*($D$9/2)^2*($L$12)))/$D$14</f>
        <v>#VALUE!</v>
      </c>
      <c r="M22" s="9" t="s">
        <v>3</v>
      </c>
    </row>
    <row r="23" spans="1:13" ht="12.75">
      <c r="A23" s="7"/>
      <c r="B23" s="7"/>
      <c r="C23" s="13" t="s">
        <v>117</v>
      </c>
      <c r="D23" s="128"/>
      <c r="E23" s="129"/>
      <c r="F23" s="129"/>
      <c r="G23" s="130"/>
      <c r="H23" s="7"/>
      <c r="K23" s="15" t="s">
        <v>153</v>
      </c>
      <c r="L23" s="23" t="e">
        <f>$D$26*(L24*$D$27)*$D$12/12</f>
        <v>#VALUE!</v>
      </c>
      <c r="M23" s="17" t="s">
        <v>18</v>
      </c>
    </row>
    <row r="24" spans="1:13" ht="12.75">
      <c r="A24" s="7"/>
      <c r="B24" s="7"/>
      <c r="C24" s="13"/>
      <c r="D24" s="134"/>
      <c r="E24" s="135"/>
      <c r="F24" s="135"/>
      <c r="G24" s="136"/>
      <c r="H24" s="7"/>
      <c r="K24" s="15" t="s">
        <v>152</v>
      </c>
      <c r="L24" s="27" t="e">
        <f>L25*$D$25</f>
        <v>#VALUE!</v>
      </c>
      <c r="M24" s="17" t="s">
        <v>3</v>
      </c>
    </row>
    <row r="25" spans="1:13" ht="12.75">
      <c r="A25" s="7"/>
      <c r="B25" s="7"/>
      <c r="C25" s="13" t="s">
        <v>16</v>
      </c>
      <c r="D25" s="40">
        <f>IF(D23="","",VLOOKUP(D23,Yield!A3:U31,MATCH(D12,Bolt_Size)+1))</f>
      </c>
      <c r="E25" s="8" t="s">
        <v>3</v>
      </c>
      <c r="F25" s="7"/>
      <c r="G25" s="7"/>
      <c r="H25" s="7"/>
      <c r="K25" s="15" t="s">
        <v>151</v>
      </c>
      <c r="L25" s="25">
        <v>0.4</v>
      </c>
      <c r="M25" s="26"/>
    </row>
    <row r="26" spans="1:8" ht="12.75">
      <c r="A26" s="7"/>
      <c r="B26" s="7"/>
      <c r="C26" s="13" t="s">
        <v>17</v>
      </c>
      <c r="D26" s="43"/>
      <c r="E26" s="8"/>
      <c r="F26" s="7"/>
      <c r="G26" s="7"/>
      <c r="H26" s="7"/>
    </row>
    <row r="27" spans="1:13" ht="12.75">
      <c r="A27" s="7"/>
      <c r="B27" s="7"/>
      <c r="C27" s="13" t="s">
        <v>274</v>
      </c>
      <c r="D27" s="28">
        <f>IF(ISERROR(HLOOKUP(D12,Yield!B1:U2,2)),"",HLOOKUP(D12,Yield!B1:U2,2))</f>
      </c>
      <c r="E27" s="8" t="s">
        <v>10</v>
      </c>
      <c r="F27" s="7"/>
      <c r="G27" s="7"/>
      <c r="H27" s="7"/>
      <c r="K27" s="15" t="s">
        <v>146</v>
      </c>
      <c r="L27" s="17" t="e">
        <f>VLOOKUP(D17,Yield!X2:AA24,4)</f>
        <v>#N/A</v>
      </c>
      <c r="M27" s="17" t="s">
        <v>3</v>
      </c>
    </row>
    <row r="28" spans="1:13" ht="13.5" thickBot="1">
      <c r="A28" s="7"/>
      <c r="B28" s="7"/>
      <c r="C28" s="7"/>
      <c r="D28" s="7"/>
      <c r="E28" s="7"/>
      <c r="F28" s="7"/>
      <c r="G28" s="7"/>
      <c r="H28" s="7"/>
      <c r="K28" s="15" t="s">
        <v>143</v>
      </c>
      <c r="L28" s="23" t="e">
        <f>((($D$9/2)^2*(3.14)*($L$12))+($D$14*($D$22)))/((12*($D$11))/(($D$26)*($D$12)))</f>
        <v>#VALUE!</v>
      </c>
      <c r="M28" s="17" t="s">
        <v>18</v>
      </c>
    </row>
    <row r="29" spans="1:13" ht="14.25" thickBot="1" thickTop="1">
      <c r="A29" s="7"/>
      <c r="B29" s="7"/>
      <c r="C29" s="13" t="s">
        <v>156</v>
      </c>
      <c r="D29" s="51">
        <f>IF(ISERROR(L28),"",IF(MAX(L18,L23)&gt;MIN(L28,L33),MIN(L28,L33),MAX(L18,L23)))</f>
      </c>
      <c r="E29" s="7" t="s">
        <v>160</v>
      </c>
      <c r="F29" s="8"/>
      <c r="G29" s="8"/>
      <c r="H29" s="7"/>
      <c r="K29" s="15" t="s">
        <v>150</v>
      </c>
      <c r="L29" s="24" t="e">
        <f>(12*($L$28)/(($D$26)*($D$12)))/($D$27)</f>
        <v>#VALUE!</v>
      </c>
      <c r="M29" s="9" t="s">
        <v>3</v>
      </c>
    </row>
    <row r="30" spans="1:13" ht="13.5" thickTop="1">
      <c r="A30" s="7"/>
      <c r="B30" s="7"/>
      <c r="C30" s="13" t="s">
        <v>37</v>
      </c>
      <c r="D30" s="45">
        <f>IF(ISERROR(L28),"",((($D$31*$D$27*$D$11)-(3.14*($D$9/2)^2*($L$12)))/$D$14))</f>
      </c>
      <c r="E30" s="7" t="s">
        <v>3</v>
      </c>
      <c r="F30" s="7"/>
      <c r="G30" s="7"/>
      <c r="H30" s="7"/>
      <c r="K30" s="15" t="s">
        <v>147</v>
      </c>
      <c r="L30" s="25" t="e">
        <f>L29/$D$25</f>
        <v>#VALUE!</v>
      </c>
      <c r="M30" s="26"/>
    </row>
    <row r="31" spans="1:8" ht="12.75">
      <c r="A31" s="7"/>
      <c r="B31" s="7"/>
      <c r="C31" s="13" t="s">
        <v>157</v>
      </c>
      <c r="D31" s="29">
        <f>IF(ISERROR(L28),"",D29/($D$26*$D$12/12*$D$27))</f>
      </c>
      <c r="E31" s="7" t="s">
        <v>3</v>
      </c>
      <c r="F31" s="8"/>
      <c r="G31" s="8"/>
      <c r="H31" s="7"/>
    </row>
    <row r="32" spans="1:13" ht="12.75" customHeight="1">
      <c r="A32" s="7"/>
      <c r="B32" s="7"/>
      <c r="C32" s="13" t="s">
        <v>158</v>
      </c>
      <c r="D32" s="30">
        <f>IF(ISERROR(L28),"",D31/$D$25)</f>
      </c>
      <c r="E32" s="7"/>
      <c r="F32" s="7"/>
      <c r="G32" s="7"/>
      <c r="H32" s="7"/>
      <c r="K32" s="15" t="s">
        <v>281</v>
      </c>
      <c r="L32" s="24" t="e">
        <f>((12*($L$33)*($D$11))/(($D$26)*($D$12))-(3.14*($D$9/2)^2*($L$12)))/$D$14</f>
        <v>#VALUE!</v>
      </c>
      <c r="M32" s="9" t="s">
        <v>3</v>
      </c>
    </row>
    <row r="33" spans="1:13" ht="12.75" customHeight="1">
      <c r="A33" s="7"/>
      <c r="B33" s="137">
        <f>IF(ISERROR(D32),"",IF(D30&lt;D21,J40,IF(D32&lt;L25,J41,"")))</f>
      </c>
      <c r="C33" s="137"/>
      <c r="D33" s="137"/>
      <c r="E33" s="137"/>
      <c r="F33" s="137"/>
      <c r="G33" s="31"/>
      <c r="H33" s="7"/>
      <c r="K33" s="15" t="s">
        <v>282</v>
      </c>
      <c r="L33" s="23" t="e">
        <f>$D$26*(L34*$D$27)*$D$12/12</f>
        <v>#VALUE!</v>
      </c>
      <c r="M33" s="17" t="s">
        <v>18</v>
      </c>
    </row>
    <row r="34" spans="1:13" ht="13.5" thickBot="1">
      <c r="A34" s="7"/>
      <c r="B34" s="137"/>
      <c r="C34" s="137"/>
      <c r="D34" s="137"/>
      <c r="E34" s="137"/>
      <c r="F34" s="137"/>
      <c r="G34" s="31"/>
      <c r="H34" s="7"/>
      <c r="K34" s="15" t="s">
        <v>283</v>
      </c>
      <c r="L34" s="27" t="e">
        <f>L35*$D$25</f>
        <v>#VALUE!</v>
      </c>
      <c r="M34" s="17" t="s">
        <v>3</v>
      </c>
    </row>
    <row r="35" spans="1:12" ht="14.25" thickBot="1" thickTop="1">
      <c r="A35" s="7"/>
      <c r="B35" s="7"/>
      <c r="C35" s="13" t="s">
        <v>159</v>
      </c>
      <c r="D35" s="51">
        <f>IF(ISERROR(L28),"",IF(MAX(L18,L23)&gt;MIN(L28,L33),MAX(L18,L23),MIN(L28,L33)))</f>
      </c>
      <c r="E35" s="7" t="s">
        <v>160</v>
      </c>
      <c r="F35" s="7"/>
      <c r="G35" s="7"/>
      <c r="H35" s="7"/>
      <c r="K35" s="15" t="s">
        <v>284</v>
      </c>
      <c r="L35" s="25">
        <v>0.9</v>
      </c>
    </row>
    <row r="36" spans="1:8" ht="13.5" thickTop="1">
      <c r="A36" s="7"/>
      <c r="B36" s="7"/>
      <c r="C36" s="13" t="s">
        <v>37</v>
      </c>
      <c r="D36" s="45">
        <f>IF(ISERROR(L28),"",((($D$37*$D$27*$D$11)-(3.14*($D$9/2)^2*($L$12)))/$D$14))</f>
      </c>
      <c r="E36" s="7" t="s">
        <v>3</v>
      </c>
      <c r="F36" s="7"/>
      <c r="G36" s="7"/>
      <c r="H36" s="7"/>
    </row>
    <row r="37" spans="1:8" ht="12.75">
      <c r="A37" s="7"/>
      <c r="B37" s="7"/>
      <c r="C37" s="13" t="s">
        <v>157</v>
      </c>
      <c r="D37" s="29">
        <f>IF(ISERROR(L28),"",D35/($D$26*$D$12/12*$D$27))</f>
      </c>
      <c r="E37" s="7" t="s">
        <v>3</v>
      </c>
      <c r="F37" s="7"/>
      <c r="G37" s="7"/>
      <c r="H37" s="7"/>
    </row>
    <row r="38" spans="1:8" ht="12.75" customHeight="1">
      <c r="A38" s="7"/>
      <c r="B38" s="7"/>
      <c r="C38" s="13" t="s">
        <v>158</v>
      </c>
      <c r="D38" s="30">
        <f>IF(ISERROR(L28),"",D37/$D$25)</f>
      </c>
      <c r="E38" s="7"/>
      <c r="F38" s="7"/>
      <c r="G38" s="7"/>
      <c r="H38" s="7"/>
    </row>
    <row r="39" spans="1:8" ht="12.75" customHeight="1">
      <c r="A39" s="7"/>
      <c r="B39" s="137">
        <f>IF(ISERROR(L30),"",IF(D38&gt;L35,J42,IF(D36&gt;D22,J43,"")))</f>
      </c>
      <c r="C39" s="145"/>
      <c r="D39" s="145"/>
      <c r="E39" s="145"/>
      <c r="F39" s="145"/>
      <c r="G39" s="32"/>
      <c r="H39" s="7"/>
    </row>
    <row r="40" spans="1:10" ht="12.75">
      <c r="A40" s="7"/>
      <c r="B40" s="145"/>
      <c r="C40" s="145"/>
      <c r="D40" s="145"/>
      <c r="E40" s="145"/>
      <c r="F40" s="145"/>
      <c r="G40" s="32"/>
      <c r="H40" s="7"/>
      <c r="J40" s="9" t="s">
        <v>218</v>
      </c>
    </row>
    <row r="41" spans="1:10" ht="12.75">
      <c r="A41" s="7"/>
      <c r="B41" s="7"/>
      <c r="C41" s="31"/>
      <c r="D41" s="31"/>
      <c r="E41" s="31"/>
      <c r="F41" s="31"/>
      <c r="G41" s="31"/>
      <c r="H41" s="7"/>
      <c r="J41" s="9" t="s">
        <v>285</v>
      </c>
    </row>
    <row r="42" spans="1:10" ht="12.75" customHeight="1">
      <c r="A42" s="7"/>
      <c r="B42" s="137">
        <f>IF(AND(B33=J40,B39=J42),J44,IF(AND(B33=J41,B39=J43),J45,""))</f>
      </c>
      <c r="C42" s="138"/>
      <c r="D42" s="138"/>
      <c r="E42" s="138"/>
      <c r="F42" s="138"/>
      <c r="G42" s="138"/>
      <c r="H42" s="7"/>
      <c r="J42" s="9" t="s">
        <v>219</v>
      </c>
    </row>
    <row r="43" spans="1:10" ht="12.75">
      <c r="A43" s="7"/>
      <c r="B43" s="138"/>
      <c r="C43" s="138"/>
      <c r="D43" s="138"/>
      <c r="E43" s="138"/>
      <c r="F43" s="138"/>
      <c r="G43" s="138"/>
      <c r="H43" s="7"/>
      <c r="J43" s="9" t="s">
        <v>220</v>
      </c>
    </row>
    <row r="44" spans="1:15" ht="12.75">
      <c r="A44" s="7"/>
      <c r="B44" s="138"/>
      <c r="C44" s="138"/>
      <c r="D44" s="138"/>
      <c r="E44" s="138"/>
      <c r="F44" s="138"/>
      <c r="G44" s="138"/>
      <c r="H44" s="7"/>
      <c r="J44" s="9" t="s">
        <v>255</v>
      </c>
      <c r="L44" s="12"/>
      <c r="M44" s="12"/>
      <c r="N44" s="12"/>
      <c r="O44" s="12"/>
    </row>
    <row r="45" spans="1:10" s="12" customFormat="1" ht="12.75">
      <c r="A45" s="7"/>
      <c r="B45" s="7"/>
      <c r="C45" s="7"/>
      <c r="D45" s="7"/>
      <c r="E45" s="7"/>
      <c r="F45" s="7"/>
      <c r="G45" s="7"/>
      <c r="H45" s="7"/>
      <c r="J45" s="12" t="s">
        <v>256</v>
      </c>
    </row>
    <row r="46" s="12" customFormat="1" ht="12.75" hidden="1">
      <c r="A46" s="9"/>
    </row>
    <row r="47" s="12" customFormat="1" ht="12.75" hidden="1">
      <c r="A47" s="9"/>
    </row>
    <row r="48" spans="1:11" s="12" customFormat="1" ht="12.75" hidden="1">
      <c r="A48" s="9"/>
      <c r="B48" s="9"/>
      <c r="C48" s="9"/>
      <c r="D48" s="9"/>
      <c r="E48" s="9"/>
      <c r="G48" s="9"/>
      <c r="H48" s="9"/>
      <c r="I48" s="9"/>
      <c r="J48" s="9"/>
      <c r="K48" s="9"/>
    </row>
    <row r="49" spans="1:11" s="12" customFormat="1" ht="12.75" hidden="1">
      <c r="A49" s="9"/>
      <c r="B49" s="9"/>
      <c r="C49" s="9"/>
      <c r="D49" s="9"/>
      <c r="E49" s="9"/>
      <c r="G49" s="9"/>
      <c r="H49" s="9"/>
      <c r="I49" s="9"/>
      <c r="J49" s="9"/>
      <c r="K49" s="9"/>
    </row>
    <row r="50" spans="1:11" s="12" customFormat="1" ht="12.75" hidden="1">
      <c r="A50" s="9"/>
      <c r="B50" s="9"/>
      <c r="C50" s="9"/>
      <c r="D50" s="9"/>
      <c r="E50" s="9"/>
      <c r="G50" s="9"/>
      <c r="H50" s="9"/>
      <c r="I50" s="9"/>
      <c r="J50" s="9"/>
      <c r="K50" s="9"/>
    </row>
    <row r="51" spans="1:11" s="12" customFormat="1" ht="12.75" hidden="1">
      <c r="A51" s="9"/>
      <c r="B51" s="9"/>
      <c r="C51" s="9"/>
      <c r="D51" s="9"/>
      <c r="E51" s="9"/>
      <c r="G51" s="9"/>
      <c r="H51" s="9"/>
      <c r="I51" s="9"/>
      <c r="J51" s="9"/>
      <c r="K51" s="9"/>
    </row>
    <row r="52" spans="1:11" s="12" customFormat="1" ht="12.75" hidden="1">
      <c r="A52" s="9"/>
      <c r="B52" s="9"/>
      <c r="C52" s="9"/>
      <c r="D52" s="9"/>
      <c r="E52" s="9"/>
      <c r="G52" s="9"/>
      <c r="H52" s="9"/>
      <c r="I52" s="9"/>
      <c r="J52" s="9"/>
      <c r="K52" s="9"/>
    </row>
    <row r="53" spans="1:11" s="12" customFormat="1" ht="12.75" hidden="1">
      <c r="A53" s="9"/>
      <c r="B53" s="9"/>
      <c r="C53" s="9"/>
      <c r="D53" s="9"/>
      <c r="E53" s="9"/>
      <c r="G53" s="9"/>
      <c r="H53" s="9"/>
      <c r="I53" s="9"/>
      <c r="J53" s="9"/>
      <c r="K53" s="9"/>
    </row>
    <row r="54" spans="1:11" s="12" customFormat="1" ht="12.75" hidden="1">
      <c r="A54" s="9"/>
      <c r="B54" s="9"/>
      <c r="C54" s="9"/>
      <c r="D54" s="9"/>
      <c r="E54" s="9"/>
      <c r="G54" s="9"/>
      <c r="H54" s="9"/>
      <c r="I54" s="9"/>
      <c r="J54" s="9"/>
      <c r="K54" s="9"/>
    </row>
    <row r="55" spans="1:11" s="12" customFormat="1" ht="12.75" hidden="1">
      <c r="A55" s="9"/>
      <c r="B55" s="9"/>
      <c r="C55" s="9"/>
      <c r="D55" s="9"/>
      <c r="E55" s="9"/>
      <c r="G55" s="9"/>
      <c r="H55" s="9"/>
      <c r="I55" s="9"/>
      <c r="J55" s="9"/>
      <c r="K55" s="9"/>
    </row>
    <row r="56" spans="1:11" s="12" customFormat="1" ht="12.75" hidden="1">
      <c r="A56" s="9"/>
      <c r="B56" s="9"/>
      <c r="C56" s="9"/>
      <c r="D56" s="9"/>
      <c r="E56" s="9"/>
      <c r="G56" s="9"/>
      <c r="H56" s="9"/>
      <c r="I56" s="9"/>
      <c r="J56" s="9"/>
      <c r="K56" s="9"/>
    </row>
    <row r="57" spans="1:11" s="12" customFormat="1" ht="12.75" hidden="1">
      <c r="A57" s="9"/>
      <c r="B57" s="9"/>
      <c r="C57" s="9"/>
      <c r="D57" s="9"/>
      <c r="E57" s="9"/>
      <c r="G57" s="9"/>
      <c r="H57" s="9"/>
      <c r="I57" s="9"/>
      <c r="J57" s="9"/>
      <c r="K57" s="9"/>
    </row>
    <row r="58" spans="1:14" s="12" customFormat="1" ht="12.75" hidden="1">
      <c r="A58" s="10"/>
      <c r="N58" s="34"/>
    </row>
    <row r="59" spans="1:14" s="12" customFormat="1" ht="12.75" hidden="1">
      <c r="A59" s="10"/>
      <c r="N59" s="34"/>
    </row>
    <row r="60" spans="1:14" s="12" customFormat="1" ht="12.75" hidden="1">
      <c r="A60" s="10"/>
      <c r="B60" s="35"/>
      <c r="N60" s="34"/>
    </row>
    <row r="61" spans="1:14" s="12" customFormat="1" ht="12.75" hidden="1">
      <c r="A61" s="10"/>
      <c r="N61" s="34"/>
    </row>
    <row r="62" spans="1:14" s="12" customFormat="1" ht="12.75" hidden="1">
      <c r="A62" s="10"/>
      <c r="N62" s="34"/>
    </row>
    <row r="63" spans="1:15" s="12" customFormat="1" ht="12.75" hidden="1">
      <c r="A63" s="10"/>
      <c r="N63" s="36"/>
      <c r="O63" s="37"/>
    </row>
    <row r="64" spans="1:15" s="12" customFormat="1" ht="12.75" hidden="1">
      <c r="A64" s="10"/>
      <c r="N64" s="36"/>
      <c r="O64" s="37"/>
    </row>
    <row r="65" spans="1:15" s="12" customFormat="1" ht="12.75" hidden="1">
      <c r="A65" s="10"/>
      <c r="N65" s="36"/>
      <c r="O65" s="37"/>
    </row>
    <row r="66" spans="1:15" s="12" customFormat="1" ht="12.75" hidden="1">
      <c r="A66" s="10"/>
      <c r="N66" s="36"/>
      <c r="O66" s="37"/>
    </row>
    <row r="67" spans="1:15" s="12" customFormat="1" ht="12.75" hidden="1">
      <c r="A67" s="10"/>
      <c r="N67" s="36"/>
      <c r="O67" s="37"/>
    </row>
    <row r="68" spans="1:15" s="12" customFormat="1" ht="12.75" hidden="1">
      <c r="A68" s="10"/>
      <c r="N68" s="36"/>
      <c r="O68" s="37"/>
    </row>
    <row r="69" spans="1:15" s="12" customFormat="1" ht="12.75" hidden="1">
      <c r="A69" s="10"/>
      <c r="N69" s="36"/>
      <c r="O69" s="37"/>
    </row>
    <row r="70" spans="1:15" s="12" customFormat="1" ht="12.75" hidden="1">
      <c r="A70" s="10"/>
      <c r="N70" s="36"/>
      <c r="O70" s="37"/>
    </row>
    <row r="71" spans="1:15" s="12" customFormat="1" ht="12.75" hidden="1">
      <c r="A71" s="10"/>
      <c r="N71" s="36"/>
      <c r="O71" s="37"/>
    </row>
    <row r="72" spans="1:15" s="12" customFormat="1" ht="12.75" hidden="1">
      <c r="A72" s="10"/>
      <c r="N72" s="36"/>
      <c r="O72" s="37"/>
    </row>
    <row r="73" spans="1:15" s="12" customFormat="1" ht="12.75" hidden="1">
      <c r="A73" s="10"/>
      <c r="N73" s="36"/>
      <c r="O73" s="37"/>
    </row>
    <row r="74" spans="1:15" s="12" customFormat="1" ht="12.75" hidden="1">
      <c r="A74" s="10"/>
      <c r="N74" s="36"/>
      <c r="O74" s="37"/>
    </row>
    <row r="75" spans="1:15" s="12" customFormat="1" ht="12.75" hidden="1">
      <c r="A75" s="10"/>
      <c r="N75" s="36"/>
      <c r="O75" s="37"/>
    </row>
    <row r="76" spans="1:15" s="12" customFormat="1" ht="12.75" hidden="1">
      <c r="A76" s="10"/>
      <c r="N76" s="36"/>
      <c r="O76" s="37"/>
    </row>
    <row r="77" spans="1:15" s="12" customFormat="1" ht="12.75" hidden="1">
      <c r="A77" s="10"/>
      <c r="N77" s="36"/>
      <c r="O77" s="37"/>
    </row>
    <row r="78" spans="1:15" s="12" customFormat="1" ht="12.75" hidden="1">
      <c r="A78" s="10"/>
      <c r="N78" s="36"/>
      <c r="O78" s="37"/>
    </row>
    <row r="79" spans="1:15" s="12" customFormat="1" ht="12.75" hidden="1">
      <c r="A79" s="10"/>
      <c r="N79" s="36"/>
      <c r="O79" s="37"/>
    </row>
    <row r="80" spans="1:15" ht="12.75" hidden="1">
      <c r="A80" s="10"/>
      <c r="B80" s="12"/>
      <c r="C80" s="12"/>
      <c r="D80" s="12"/>
      <c r="E80" s="12"/>
      <c r="F80" s="12"/>
      <c r="G80" s="12"/>
      <c r="H80" s="12"/>
      <c r="I80" s="12"/>
      <c r="J80" s="12"/>
      <c r="K80" s="12"/>
      <c r="L80" s="12"/>
      <c r="M80" s="12"/>
      <c r="N80" s="36"/>
      <c r="O80" s="37"/>
    </row>
    <row r="81" spans="1:15" ht="12.75" hidden="1">
      <c r="A81" s="10"/>
      <c r="B81" s="12"/>
      <c r="C81" s="12"/>
      <c r="D81" s="12"/>
      <c r="E81" s="12"/>
      <c r="F81" s="12"/>
      <c r="G81" s="12"/>
      <c r="H81" s="12"/>
      <c r="I81" s="12"/>
      <c r="J81" s="12"/>
      <c r="K81" s="12"/>
      <c r="L81" s="12"/>
      <c r="M81" s="12"/>
      <c r="N81" s="34"/>
      <c r="O81" s="12"/>
    </row>
    <row r="82" spans="1:15" ht="12.75" hidden="1">
      <c r="A82" s="10"/>
      <c r="B82" s="12"/>
      <c r="C82" s="12"/>
      <c r="D82" s="12"/>
      <c r="E82" s="12"/>
      <c r="F82" s="12"/>
      <c r="G82" s="12"/>
      <c r="H82" s="12"/>
      <c r="I82" s="12"/>
      <c r="J82" s="12"/>
      <c r="K82" s="12"/>
      <c r="L82" s="12"/>
      <c r="M82" s="12"/>
      <c r="N82" s="34"/>
      <c r="O82" s="12"/>
    </row>
    <row r="83" spans="1:15" ht="12.75" hidden="1">
      <c r="A83" s="10"/>
      <c r="B83" s="12"/>
      <c r="C83" s="12"/>
      <c r="D83" s="12"/>
      <c r="E83" s="12"/>
      <c r="F83" s="12"/>
      <c r="G83" s="12"/>
      <c r="H83" s="12"/>
      <c r="I83" s="12"/>
      <c r="J83" s="12"/>
      <c r="K83" s="12"/>
      <c r="L83" s="12"/>
      <c r="M83" s="12"/>
      <c r="N83" s="34"/>
      <c r="O83" s="12"/>
    </row>
    <row r="84" spans="1:15" ht="12.75" hidden="1">
      <c r="A84" s="10"/>
      <c r="B84" s="12"/>
      <c r="C84" s="12"/>
      <c r="D84" s="12"/>
      <c r="E84" s="12"/>
      <c r="F84" s="12"/>
      <c r="G84" s="12"/>
      <c r="H84" s="12"/>
      <c r="I84" s="12"/>
      <c r="J84" s="12"/>
      <c r="K84" s="12"/>
      <c r="L84" s="12"/>
      <c r="M84" s="12"/>
      <c r="N84" s="34"/>
      <c r="O84" s="12"/>
    </row>
    <row r="85" spans="1:15" ht="12.75" hidden="1">
      <c r="A85" s="10"/>
      <c r="B85" s="12"/>
      <c r="C85" s="12"/>
      <c r="D85" s="12"/>
      <c r="E85" s="12"/>
      <c r="F85" s="12"/>
      <c r="G85" s="12"/>
      <c r="H85" s="12"/>
      <c r="I85" s="12"/>
      <c r="J85" s="12"/>
      <c r="K85" s="12"/>
      <c r="L85" s="12"/>
      <c r="M85" s="12"/>
      <c r="N85" s="34"/>
      <c r="O85" s="12"/>
    </row>
    <row r="86" spans="1:15" ht="12.75" hidden="1">
      <c r="A86" s="10"/>
      <c r="B86" s="12"/>
      <c r="C86" s="12"/>
      <c r="D86" s="12"/>
      <c r="E86" s="12"/>
      <c r="F86" s="12"/>
      <c r="G86" s="12"/>
      <c r="H86" s="12"/>
      <c r="I86" s="12"/>
      <c r="J86" s="12"/>
      <c r="K86" s="12"/>
      <c r="L86" s="12"/>
      <c r="M86" s="12"/>
      <c r="N86" s="34"/>
      <c r="O86" s="12"/>
    </row>
    <row r="87" spans="1:15" ht="12.75" hidden="1">
      <c r="A87" s="10"/>
      <c r="B87" s="12"/>
      <c r="C87" s="12"/>
      <c r="D87" s="12"/>
      <c r="E87" s="12"/>
      <c r="F87" s="12"/>
      <c r="G87" s="12"/>
      <c r="H87" s="12"/>
      <c r="I87" s="12"/>
      <c r="J87" s="12"/>
      <c r="K87" s="12"/>
      <c r="L87" s="12"/>
      <c r="M87" s="12"/>
      <c r="N87" s="34"/>
      <c r="O87" s="12"/>
    </row>
    <row r="88" spans="1:15" ht="12.75" hidden="1">
      <c r="A88" s="10"/>
      <c r="B88" s="35"/>
      <c r="C88" s="12"/>
      <c r="D88" s="12"/>
      <c r="E88" s="12"/>
      <c r="F88" s="12"/>
      <c r="G88" s="12"/>
      <c r="H88" s="12"/>
      <c r="I88" s="12"/>
      <c r="J88" s="12"/>
      <c r="K88" s="12"/>
      <c r="L88" s="12"/>
      <c r="M88" s="12"/>
      <c r="N88" s="34"/>
      <c r="O88" s="12"/>
    </row>
    <row r="89" spans="1:15" ht="12.75" hidden="1">
      <c r="A89" s="10"/>
      <c r="B89" s="35"/>
      <c r="C89" s="12"/>
      <c r="D89" s="12"/>
      <c r="E89" s="12"/>
      <c r="F89" s="12"/>
      <c r="G89" s="12"/>
      <c r="H89" s="12"/>
      <c r="I89" s="12"/>
      <c r="J89" s="12"/>
      <c r="K89" s="12"/>
      <c r="L89" s="12"/>
      <c r="M89" s="12"/>
      <c r="N89" s="34"/>
      <c r="O89" s="12"/>
    </row>
    <row r="90" spans="1:15" ht="12.75" hidden="1">
      <c r="A90" s="10"/>
      <c r="B90" s="35"/>
      <c r="C90" s="12"/>
      <c r="D90" s="12"/>
      <c r="E90" s="12"/>
      <c r="F90" s="12"/>
      <c r="G90" s="12"/>
      <c r="H90" s="12"/>
      <c r="I90" s="12"/>
      <c r="J90" s="12"/>
      <c r="K90" s="12"/>
      <c r="L90" s="12"/>
      <c r="M90" s="12"/>
      <c r="N90" s="34"/>
      <c r="O90" s="12"/>
    </row>
    <row r="91" spans="1:15" ht="12.75" hidden="1">
      <c r="A91" s="10"/>
      <c r="B91" s="35"/>
      <c r="C91" s="12"/>
      <c r="D91" s="12"/>
      <c r="E91" s="12"/>
      <c r="F91" s="12"/>
      <c r="G91" s="12"/>
      <c r="H91" s="12"/>
      <c r="I91" s="12"/>
      <c r="J91" s="12"/>
      <c r="K91" s="12"/>
      <c r="L91" s="12"/>
      <c r="M91" s="12"/>
      <c r="N91" s="34"/>
      <c r="O91" s="12"/>
    </row>
    <row r="92" spans="1:15" ht="12.75" hidden="1">
      <c r="A92" s="10"/>
      <c r="B92" s="35"/>
      <c r="C92" s="12"/>
      <c r="D92" s="12"/>
      <c r="E92" s="12"/>
      <c r="F92" s="12"/>
      <c r="G92" s="12"/>
      <c r="H92" s="12"/>
      <c r="I92" s="12"/>
      <c r="J92" s="12"/>
      <c r="K92" s="12"/>
      <c r="L92" s="12"/>
      <c r="M92" s="12"/>
      <c r="N92" s="34"/>
      <c r="O92" s="12"/>
    </row>
    <row r="93" spans="1:15" ht="12.75" hidden="1">
      <c r="A93" s="10"/>
      <c r="B93" s="35"/>
      <c r="C93" s="12"/>
      <c r="D93" s="12"/>
      <c r="E93" s="12"/>
      <c r="F93" s="12"/>
      <c r="G93" s="12"/>
      <c r="H93" s="12"/>
      <c r="I93" s="12"/>
      <c r="J93" s="12"/>
      <c r="K93" s="12"/>
      <c r="L93" s="12"/>
      <c r="M93" s="12"/>
      <c r="N93" s="34"/>
      <c r="O93" s="12"/>
    </row>
    <row r="94" spans="1:15" ht="12.75" hidden="1">
      <c r="A94" s="10"/>
      <c r="B94" s="35"/>
      <c r="C94" s="12"/>
      <c r="D94" s="12"/>
      <c r="E94" s="12"/>
      <c r="F94" s="12"/>
      <c r="G94" s="12"/>
      <c r="H94" s="12"/>
      <c r="I94" s="12"/>
      <c r="J94" s="12"/>
      <c r="K94" s="12"/>
      <c r="L94" s="12"/>
      <c r="M94" s="12"/>
      <c r="N94" s="34"/>
      <c r="O94" s="12"/>
    </row>
    <row r="95" spans="1:15" ht="12.75" hidden="1">
      <c r="A95" s="10"/>
      <c r="B95" s="35"/>
      <c r="C95" s="12"/>
      <c r="D95" s="12"/>
      <c r="E95" s="12"/>
      <c r="F95" s="12"/>
      <c r="G95" s="12"/>
      <c r="H95" s="12"/>
      <c r="I95" s="12"/>
      <c r="J95" s="12"/>
      <c r="K95" s="12"/>
      <c r="L95" s="12"/>
      <c r="M95" s="12"/>
      <c r="N95" s="34"/>
      <c r="O95" s="12"/>
    </row>
    <row r="96" spans="1:15" ht="12.75" hidden="1">
      <c r="A96" s="10"/>
      <c r="B96" s="12"/>
      <c r="C96" s="12"/>
      <c r="D96" s="12"/>
      <c r="E96" s="12"/>
      <c r="F96" s="12"/>
      <c r="G96" s="12"/>
      <c r="H96" s="12"/>
      <c r="I96" s="12"/>
      <c r="J96" s="12"/>
      <c r="K96" s="12"/>
      <c r="L96" s="12"/>
      <c r="M96" s="12"/>
      <c r="N96" s="34"/>
      <c r="O96" s="12"/>
    </row>
    <row r="97" spans="1:15" ht="12.75" hidden="1">
      <c r="A97" s="10"/>
      <c r="B97" s="12"/>
      <c r="C97" s="12"/>
      <c r="D97" s="12"/>
      <c r="E97" s="12"/>
      <c r="F97" s="12"/>
      <c r="G97" s="12"/>
      <c r="H97" s="12"/>
      <c r="I97" s="12"/>
      <c r="J97" s="12"/>
      <c r="K97" s="12"/>
      <c r="L97" s="12"/>
      <c r="M97" s="12"/>
      <c r="N97" s="34"/>
      <c r="O97" s="12"/>
    </row>
    <row r="98" spans="1:15" ht="12.75" hidden="1">
      <c r="A98" s="10"/>
      <c r="B98" s="12"/>
      <c r="C98" s="12"/>
      <c r="D98" s="12"/>
      <c r="E98" s="12"/>
      <c r="F98" s="12"/>
      <c r="G98" s="12"/>
      <c r="H98" s="12"/>
      <c r="I98" s="12"/>
      <c r="J98" s="12"/>
      <c r="K98" s="12"/>
      <c r="L98" s="12"/>
      <c r="M98" s="12"/>
      <c r="N98" s="34"/>
      <c r="O98" s="12"/>
    </row>
  </sheetData>
  <sheetProtection password="C612" sheet="1" objects="1" scenarios="1"/>
  <mergeCells count="8">
    <mergeCell ref="A6:H6"/>
    <mergeCell ref="B42:G44"/>
    <mergeCell ref="D19:G20"/>
    <mergeCell ref="D17:G18"/>
    <mergeCell ref="B39:F40"/>
    <mergeCell ref="B33:F34"/>
    <mergeCell ref="D23:G24"/>
    <mergeCell ref="A7:H7"/>
  </mergeCells>
  <conditionalFormatting sqref="G33:G34">
    <cfRule type="cellIs" priority="5" dxfId="33" operator="greaterThan" stopIfTrue="1">
      <formula>"Gasket"</formula>
    </cfRule>
  </conditionalFormatting>
  <conditionalFormatting sqref="G39:G41 C41:F41">
    <cfRule type="cellIs" priority="6" dxfId="33" operator="greaterThan" stopIfTrue="1">
      <formula>"bolt"</formula>
    </cfRule>
  </conditionalFormatting>
  <conditionalFormatting sqref="B39:F40 B33:F34">
    <cfRule type="cellIs" priority="7" dxfId="34" operator="greaterThan" stopIfTrue="1">
      <formula>"bolt"</formula>
    </cfRule>
  </conditionalFormatting>
  <conditionalFormatting sqref="B42:G44">
    <cfRule type="cellIs" priority="8" dxfId="34" operator="greaterThan" stopIfTrue="1">
      <formula>"it"</formula>
    </cfRule>
  </conditionalFormatting>
  <dataValidations count="5">
    <dataValidation type="decimal" operator="greaterThan" allowBlank="1" showInputMessage="1" showErrorMessage="1" error="OD must be greater than ID!" sqref="D10">
      <formula1>D9</formula1>
    </dataValidation>
    <dataValidation type="list" allowBlank="1" showInputMessage="1" showErrorMessage="1" prompt="Select the bolt size from the drop down list." sqref="D12">
      <formula1>Bolt_Size</formula1>
    </dataValidation>
    <dataValidation type="list" allowBlank="1" showInputMessage="1" showErrorMessage="1" error="Please select a gasket material from the drop down list." sqref="D17:G18">
      <formula1>Gasket_Material</formula1>
    </dataValidation>
    <dataValidation type="list" allowBlank="1" showInputMessage="1" showErrorMessage="1" error="Please select the bolt grade from the drop down list." sqref="D23:G24">
      <formula1>Bolt_Grade</formula1>
    </dataValidation>
    <dataValidation allowBlank="1" showInputMessage="1" showErrorMessage="1" promptTitle="Suggested &quot;k&quot; Factor Values:" prompt="Lubricated bolt with washers: 0.16&#10;&#10;Lubricated bolt without washers: 0.19&#10;&#10;Unlubricated bolt with washers: 0.25&#10;&#10;Unlubricated bolt without washers: 0.36" sqref="D26"/>
  </dataValidations>
  <printOptions/>
  <pageMargins left="0.75" right="0.75" top="1" bottom="1" header="0.5" footer="0.5"/>
  <pageSetup horizontalDpi="96" verticalDpi="96" orientation="portrait" r:id="rId2"/>
  <drawing r:id="rId1"/>
</worksheet>
</file>

<file path=xl/worksheets/sheet7.xml><?xml version="1.0" encoding="utf-8"?>
<worksheet xmlns="http://schemas.openxmlformats.org/spreadsheetml/2006/main" xmlns:r="http://schemas.openxmlformats.org/officeDocument/2006/relationships">
  <sheetPr codeName="Sheet6"/>
  <dimension ref="A1:Q64"/>
  <sheetViews>
    <sheetView zoomScalePageLayoutView="0" workbookViewId="0" topLeftCell="A1">
      <selection activeCell="D8" sqref="D8:H9"/>
    </sheetView>
  </sheetViews>
  <sheetFormatPr defaultColWidth="0" defaultRowHeight="12.75" zeroHeight="1"/>
  <cols>
    <col min="1" max="1" width="12.7109375" style="9" customWidth="1"/>
    <col min="2" max="5" width="9.140625" style="9" customWidth="1"/>
    <col min="6" max="6" width="7.7109375" style="9" customWidth="1"/>
    <col min="7" max="9" width="9.140625" style="9" customWidth="1"/>
    <col min="10" max="23" width="9.28125" style="9" hidden="1" customWidth="1"/>
    <col min="24" max="16384" width="9.140625" style="9" hidden="1" customWidth="1"/>
  </cols>
  <sheetData>
    <row r="1" spans="1:9" ht="12.75">
      <c r="A1" s="7"/>
      <c r="B1" s="7"/>
      <c r="C1" s="7"/>
      <c r="D1" s="7"/>
      <c r="E1" s="7"/>
      <c r="F1" s="7"/>
      <c r="G1" s="7"/>
      <c r="H1" s="8"/>
      <c r="I1" s="7"/>
    </row>
    <row r="2" spans="1:9" ht="25.5">
      <c r="A2" s="7"/>
      <c r="B2" s="7"/>
      <c r="C2" s="7"/>
      <c r="E2" s="7"/>
      <c r="G2" s="107"/>
      <c r="H2" s="107"/>
      <c r="I2" s="7"/>
    </row>
    <row r="3" spans="1:9" ht="25.5">
      <c r="A3" s="7"/>
      <c r="B3" s="7"/>
      <c r="C3" s="7"/>
      <c r="D3" s="7"/>
      <c r="E3" s="7"/>
      <c r="F3" s="107"/>
      <c r="G3" s="107"/>
      <c r="H3" s="107"/>
      <c r="I3" s="7"/>
    </row>
    <row r="4" spans="1:9" ht="15" customHeight="1">
      <c r="A4" s="7"/>
      <c r="B4" s="7"/>
      <c r="C4" s="7"/>
      <c r="D4" s="7"/>
      <c r="F4" s="107"/>
      <c r="G4" s="107"/>
      <c r="H4" s="107"/>
      <c r="I4" s="7"/>
    </row>
    <row r="5" spans="1:9" ht="26.25">
      <c r="A5" s="148" t="s">
        <v>191</v>
      </c>
      <c r="B5" s="148"/>
      <c r="C5" s="148"/>
      <c r="D5" s="148"/>
      <c r="E5" s="148"/>
      <c r="F5" s="148"/>
      <c r="G5" s="148"/>
      <c r="H5" s="148"/>
      <c r="I5" s="148"/>
    </row>
    <row r="6" spans="1:9" ht="12.75">
      <c r="A6" s="7"/>
      <c r="B6" s="7"/>
      <c r="C6" s="7"/>
      <c r="D6" s="7"/>
      <c r="E6" s="7"/>
      <c r="F6" s="7"/>
      <c r="G6" s="7"/>
      <c r="H6" s="8"/>
      <c r="I6" s="7"/>
    </row>
    <row r="7" spans="1:9" s="61" customFormat="1" ht="12.75" customHeight="1">
      <c r="A7" s="76"/>
      <c r="B7" s="76"/>
      <c r="C7" s="77"/>
      <c r="D7" s="77"/>
      <c r="E7" s="77"/>
      <c r="F7" s="77"/>
      <c r="G7" s="77"/>
      <c r="H7" s="76"/>
      <c r="I7" s="76"/>
    </row>
    <row r="8" spans="1:9" s="61" customFormat="1" ht="18" customHeight="1">
      <c r="A8" s="154" t="s">
        <v>210</v>
      </c>
      <c r="B8" s="160"/>
      <c r="C8" s="160"/>
      <c r="D8" s="161"/>
      <c r="E8" s="162"/>
      <c r="F8" s="162"/>
      <c r="G8" s="162"/>
      <c r="H8" s="162"/>
      <c r="I8" s="76"/>
    </row>
    <row r="9" spans="1:9" s="61" customFormat="1" ht="18">
      <c r="A9" s="160"/>
      <c r="B9" s="160"/>
      <c r="C9" s="160"/>
      <c r="D9" s="162"/>
      <c r="E9" s="162"/>
      <c r="F9" s="162"/>
      <c r="G9" s="162"/>
      <c r="H9" s="162"/>
      <c r="I9" s="76"/>
    </row>
    <row r="10" spans="1:9" s="61" customFormat="1" ht="9" customHeight="1">
      <c r="A10" s="76"/>
      <c r="B10" s="76"/>
      <c r="C10" s="78"/>
      <c r="D10" s="77"/>
      <c r="E10" s="81"/>
      <c r="F10" s="81"/>
      <c r="G10" s="81"/>
      <c r="H10" s="81"/>
      <c r="I10" s="76"/>
    </row>
    <row r="11" spans="1:9" s="61" customFormat="1" ht="18">
      <c r="A11" s="76"/>
      <c r="B11" s="76"/>
      <c r="C11" s="78" t="s">
        <v>209</v>
      </c>
      <c r="D11" s="158"/>
      <c r="E11" s="159"/>
      <c r="F11" s="159"/>
      <c r="G11" s="159"/>
      <c r="H11" s="159"/>
      <c r="I11" s="76"/>
    </row>
    <row r="12" spans="1:9" s="61" customFormat="1" ht="9" customHeight="1">
      <c r="A12" s="76"/>
      <c r="B12" s="76"/>
      <c r="C12" s="78"/>
      <c r="D12" s="77"/>
      <c r="E12" s="81"/>
      <c r="F12" s="81"/>
      <c r="G12" s="81"/>
      <c r="H12" s="81"/>
      <c r="I12" s="76"/>
    </row>
    <row r="13" spans="1:9" s="61" customFormat="1" ht="18">
      <c r="A13" s="154" t="s">
        <v>211</v>
      </c>
      <c r="B13" s="155"/>
      <c r="C13" s="155"/>
      <c r="D13" s="157"/>
      <c r="E13" s="157"/>
      <c r="F13" s="157"/>
      <c r="G13" s="157"/>
      <c r="H13" s="157"/>
      <c r="I13" s="76"/>
    </row>
    <row r="14" spans="1:9" s="61" customFormat="1" ht="18">
      <c r="A14" s="155"/>
      <c r="B14" s="155"/>
      <c r="C14" s="155"/>
      <c r="D14" s="157"/>
      <c r="E14" s="157"/>
      <c r="F14" s="157"/>
      <c r="G14" s="157"/>
      <c r="H14" s="157"/>
      <c r="I14" s="76"/>
    </row>
    <row r="15" spans="1:9" s="61" customFormat="1" ht="9" customHeight="1">
      <c r="A15" s="32"/>
      <c r="B15" s="32"/>
      <c r="C15" s="32"/>
      <c r="D15" s="82"/>
      <c r="E15" s="82"/>
      <c r="F15" s="82"/>
      <c r="G15" s="82"/>
      <c r="H15" s="82"/>
      <c r="I15" s="76"/>
    </row>
    <row r="16" spans="1:9" s="61" customFormat="1" ht="18">
      <c r="A16" s="76"/>
      <c r="B16" s="76"/>
      <c r="C16" s="81"/>
      <c r="D16" s="161"/>
      <c r="E16" s="174"/>
      <c r="F16" s="174"/>
      <c r="G16" s="174"/>
      <c r="H16" s="174"/>
      <c r="I16" s="76"/>
    </row>
    <row r="17" spans="1:12" s="61" customFormat="1" ht="18">
      <c r="A17" s="76"/>
      <c r="B17" s="81"/>
      <c r="C17" s="79" t="s">
        <v>11</v>
      </c>
      <c r="D17" s="174"/>
      <c r="E17" s="174"/>
      <c r="F17" s="174"/>
      <c r="G17" s="174"/>
      <c r="H17" s="174"/>
      <c r="I17" s="76"/>
      <c r="J17" s="62"/>
      <c r="K17" s="63"/>
      <c r="L17" s="64"/>
    </row>
    <row r="18" spans="1:12" s="61" customFormat="1" ht="18">
      <c r="A18" s="76"/>
      <c r="B18" s="83"/>
      <c r="C18" s="83"/>
      <c r="D18" s="174"/>
      <c r="E18" s="174"/>
      <c r="F18" s="174"/>
      <c r="G18" s="174"/>
      <c r="H18" s="174"/>
      <c r="I18" s="76"/>
      <c r="J18" s="62"/>
      <c r="K18" s="63"/>
      <c r="L18" s="64"/>
    </row>
    <row r="19" spans="1:12" s="61" customFormat="1" ht="9" customHeight="1">
      <c r="A19" s="76"/>
      <c r="B19" s="83"/>
      <c r="C19" s="83"/>
      <c r="D19" s="32"/>
      <c r="E19" s="32"/>
      <c r="F19" s="32"/>
      <c r="G19" s="32"/>
      <c r="H19" s="32"/>
      <c r="I19" s="76"/>
      <c r="J19" s="62"/>
      <c r="K19" s="63"/>
      <c r="L19" s="64"/>
    </row>
    <row r="20" spans="1:12" s="61" customFormat="1" ht="18" customHeight="1">
      <c r="A20" s="154" t="s">
        <v>215</v>
      </c>
      <c r="B20" s="155"/>
      <c r="C20" s="155"/>
      <c r="D20" s="152">
        <f>IF('Custom Applications'!D23=0,"",'Custom Applications'!D23)</f>
      </c>
      <c r="E20" s="156"/>
      <c r="F20" s="156"/>
      <c r="G20" s="156"/>
      <c r="H20" s="156"/>
      <c r="I20" s="76"/>
      <c r="J20" s="62"/>
      <c r="K20" s="63"/>
      <c r="L20" s="64"/>
    </row>
    <row r="21" spans="1:12" s="61" customFormat="1" ht="18">
      <c r="A21" s="155"/>
      <c r="B21" s="155"/>
      <c r="C21" s="155"/>
      <c r="D21" s="156"/>
      <c r="E21" s="156"/>
      <c r="F21" s="156"/>
      <c r="G21" s="156"/>
      <c r="H21" s="156"/>
      <c r="I21" s="76"/>
      <c r="J21" s="62"/>
      <c r="K21" s="63"/>
      <c r="L21" s="64"/>
    </row>
    <row r="22" spans="1:12" s="61" customFormat="1" ht="9" customHeight="1">
      <c r="A22" s="76"/>
      <c r="B22" s="83"/>
      <c r="C22" s="83"/>
      <c r="D22" s="32"/>
      <c r="E22" s="32"/>
      <c r="F22" s="32"/>
      <c r="G22" s="32"/>
      <c r="H22" s="32"/>
      <c r="I22" s="76"/>
      <c r="J22" s="62"/>
      <c r="K22" s="63"/>
      <c r="L22" s="64"/>
    </row>
    <row r="23" spans="1:12" s="61" customFormat="1" ht="18" customHeight="1">
      <c r="A23" s="154" t="s">
        <v>207</v>
      </c>
      <c r="B23" s="154"/>
      <c r="C23" s="154"/>
      <c r="D23" s="152">
        <f>IF('Custom Applications'!D17=0,"",'Custom Applications'!D17)</f>
      </c>
      <c r="E23" s="152"/>
      <c r="F23" s="152"/>
      <c r="G23" s="152"/>
      <c r="H23" s="152"/>
      <c r="I23" s="76"/>
      <c r="J23" s="62"/>
      <c r="K23" s="63"/>
      <c r="L23" s="64"/>
    </row>
    <row r="24" spans="1:12" s="61" customFormat="1" ht="18">
      <c r="A24" s="154"/>
      <c r="B24" s="154"/>
      <c r="C24" s="154"/>
      <c r="D24" s="152"/>
      <c r="E24" s="152"/>
      <c r="F24" s="152"/>
      <c r="G24" s="152"/>
      <c r="H24" s="152"/>
      <c r="I24" s="76"/>
      <c r="J24" s="62"/>
      <c r="K24" s="63"/>
      <c r="L24" s="64"/>
    </row>
    <row r="25" spans="1:12" s="61" customFormat="1" ht="9" customHeight="1">
      <c r="A25" s="32"/>
      <c r="B25" s="32"/>
      <c r="C25" s="32"/>
      <c r="D25" s="84"/>
      <c r="E25" s="84"/>
      <c r="F25" s="84"/>
      <c r="G25" s="84"/>
      <c r="H25" s="84"/>
      <c r="I25" s="76"/>
      <c r="J25" s="62"/>
      <c r="K25" s="63"/>
      <c r="L25" s="64"/>
    </row>
    <row r="26" spans="1:12" s="61" customFormat="1" ht="18">
      <c r="A26" s="154" t="s">
        <v>208</v>
      </c>
      <c r="B26" s="155"/>
      <c r="C26" s="155"/>
      <c r="D26" s="157"/>
      <c r="E26" s="157"/>
      <c r="F26" s="157"/>
      <c r="G26" s="157"/>
      <c r="H26" s="157"/>
      <c r="I26" s="76"/>
      <c r="J26" s="62"/>
      <c r="K26" s="63"/>
      <c r="L26" s="64"/>
    </row>
    <row r="27" spans="1:12" s="61" customFormat="1" ht="18">
      <c r="A27" s="155"/>
      <c r="B27" s="155"/>
      <c r="C27" s="155"/>
      <c r="D27" s="157"/>
      <c r="E27" s="157"/>
      <c r="F27" s="157"/>
      <c r="G27" s="157"/>
      <c r="H27" s="157"/>
      <c r="I27" s="76"/>
      <c r="J27" s="62"/>
      <c r="K27" s="63"/>
      <c r="L27" s="64"/>
    </row>
    <row r="28" spans="1:12" s="61" customFormat="1" ht="9" customHeight="1">
      <c r="A28" s="76"/>
      <c r="B28" s="76"/>
      <c r="C28" s="76"/>
      <c r="D28" s="76"/>
      <c r="E28" s="76"/>
      <c r="F28" s="76"/>
      <c r="G28" s="76"/>
      <c r="H28" s="76"/>
      <c r="I28" s="80"/>
      <c r="J28" s="62"/>
      <c r="K28" s="63"/>
      <c r="L28" s="64"/>
    </row>
    <row r="29" spans="1:9" s="61" customFormat="1" ht="18">
      <c r="A29" s="76"/>
      <c r="B29" s="76"/>
      <c r="C29" s="76"/>
      <c r="D29" s="76"/>
      <c r="E29" s="78" t="s">
        <v>213</v>
      </c>
      <c r="F29" s="94" t="e">
        <f>('Custom Applications'!D29+'Custom Applications'!D35)/2*1/3</f>
        <v>#VALUE!</v>
      </c>
      <c r="G29" s="95" t="s">
        <v>160</v>
      </c>
      <c r="H29" s="76"/>
      <c r="I29" s="80"/>
    </row>
    <row r="30" spans="1:9" s="61" customFormat="1" ht="18">
      <c r="A30" s="76"/>
      <c r="B30" s="76"/>
      <c r="C30" s="76"/>
      <c r="D30" s="76"/>
      <c r="E30" s="78" t="s">
        <v>214</v>
      </c>
      <c r="F30" s="94" t="e">
        <f>('Custom Applications'!D29+'Custom Applications'!D35)/2*2/3</f>
        <v>#VALUE!</v>
      </c>
      <c r="G30" s="95" t="s">
        <v>160</v>
      </c>
      <c r="H30" s="76"/>
      <c r="I30" s="80"/>
    </row>
    <row r="31" spans="1:13" s="61" customFormat="1" ht="18">
      <c r="A31" s="76"/>
      <c r="B31" s="76"/>
      <c r="C31" s="76"/>
      <c r="D31" s="76"/>
      <c r="E31" s="78" t="s">
        <v>212</v>
      </c>
      <c r="F31" s="94" t="e">
        <f>('Custom Applications'!D29+'Custom Applications'!D35)/2</f>
        <v>#VALUE!</v>
      </c>
      <c r="G31" s="95" t="s">
        <v>160</v>
      </c>
      <c r="H31" s="76"/>
      <c r="I31" s="76"/>
      <c r="J31" s="64"/>
      <c r="K31" s="62"/>
      <c r="L31" s="64"/>
      <c r="M31" s="64"/>
    </row>
    <row r="32" spans="1:13" s="61" customFormat="1" ht="9" customHeight="1">
      <c r="A32" s="76"/>
      <c r="B32" s="76"/>
      <c r="C32" s="76"/>
      <c r="D32" s="76"/>
      <c r="E32" s="80"/>
      <c r="F32" s="80"/>
      <c r="G32" s="80"/>
      <c r="H32" s="76"/>
      <c r="I32" s="76"/>
      <c r="J32" s="66"/>
      <c r="K32" s="62"/>
      <c r="L32" s="67"/>
      <c r="M32" s="64"/>
    </row>
    <row r="33" spans="1:12" s="61" customFormat="1" ht="18">
      <c r="A33" s="76"/>
      <c r="B33" s="150">
        <f>'Custom Applications'!B42</f>
      </c>
      <c r="C33" s="173"/>
      <c r="D33" s="173"/>
      <c r="E33" s="173"/>
      <c r="F33" s="173"/>
      <c r="G33" s="173"/>
      <c r="H33" s="173"/>
      <c r="I33" s="76"/>
      <c r="K33" s="62"/>
      <c r="L33" s="68"/>
    </row>
    <row r="34" spans="1:12" s="61" customFormat="1" ht="18">
      <c r="A34" s="76"/>
      <c r="B34" s="173"/>
      <c r="C34" s="173"/>
      <c r="D34" s="173"/>
      <c r="E34" s="173"/>
      <c r="F34" s="173"/>
      <c r="G34" s="173"/>
      <c r="H34" s="173"/>
      <c r="I34" s="76"/>
      <c r="K34" s="62"/>
      <c r="L34" s="69"/>
    </row>
    <row r="35" spans="1:9" s="61" customFormat="1" ht="18">
      <c r="A35" s="76"/>
      <c r="B35" s="173"/>
      <c r="C35" s="173"/>
      <c r="D35" s="173"/>
      <c r="E35" s="173"/>
      <c r="F35" s="173"/>
      <c r="G35" s="173"/>
      <c r="H35" s="173"/>
      <c r="I35" s="76"/>
    </row>
    <row r="36" spans="1:12" s="61" customFormat="1" ht="18">
      <c r="A36" s="76"/>
      <c r="B36" s="76"/>
      <c r="C36" s="76"/>
      <c r="D36" s="76"/>
      <c r="E36" s="76"/>
      <c r="F36" s="76"/>
      <c r="G36" s="76"/>
      <c r="H36" s="76"/>
      <c r="I36" s="76"/>
      <c r="K36" s="62"/>
      <c r="L36" s="68"/>
    </row>
    <row r="37" spans="11:13" s="61" customFormat="1" ht="18" hidden="1">
      <c r="K37" s="62"/>
      <c r="L37" s="67"/>
      <c r="M37" s="64"/>
    </row>
    <row r="38" spans="11:13" s="61" customFormat="1" ht="18" hidden="1">
      <c r="K38" s="62"/>
      <c r="L38" s="70"/>
      <c r="M38" s="64"/>
    </row>
    <row r="39" spans="11:13" s="61" customFormat="1" ht="18" hidden="1">
      <c r="K39" s="62"/>
      <c r="L39" s="69"/>
      <c r="M39" s="71"/>
    </row>
    <row r="40" s="61" customFormat="1" ht="18" hidden="1"/>
    <row r="41" spans="11:13" s="61" customFormat="1" ht="18" hidden="1">
      <c r="K41" s="62"/>
      <c r="L41" s="64"/>
      <c r="M41" s="64"/>
    </row>
    <row r="42" spans="11:13" s="61" customFormat="1" ht="18" hidden="1">
      <c r="K42" s="62"/>
      <c r="L42" s="67"/>
      <c r="M42" s="64"/>
    </row>
    <row r="43" spans="3:17" s="61" customFormat="1" ht="18.75" hidden="1">
      <c r="C43" s="62"/>
      <c r="D43" s="65"/>
      <c r="F43" s="64"/>
      <c r="G43" s="64"/>
      <c r="K43" s="62"/>
      <c r="L43" s="68"/>
      <c r="N43" s="85"/>
      <c r="O43" s="85"/>
      <c r="P43" s="85"/>
      <c r="Q43" s="85"/>
    </row>
    <row r="44" spans="11:13" s="61" customFormat="1" ht="18" hidden="1">
      <c r="K44" s="62"/>
      <c r="L44" s="69"/>
      <c r="M44" s="71"/>
    </row>
    <row r="45" spans="6:7" s="61" customFormat="1" ht="18" hidden="1">
      <c r="F45" s="64"/>
      <c r="G45" s="64"/>
    </row>
    <row r="46" spans="11:12" s="61" customFormat="1" ht="12.75" customHeight="1" hidden="1">
      <c r="K46" s="62"/>
      <c r="L46" s="68"/>
    </row>
    <row r="47" spans="6:13" s="61" customFormat="1" ht="12.75" customHeight="1" hidden="1">
      <c r="F47" s="72"/>
      <c r="G47" s="73"/>
      <c r="K47" s="62"/>
      <c r="L47" s="67"/>
      <c r="M47" s="64"/>
    </row>
    <row r="48" spans="6:13" s="61" customFormat="1" ht="18" hidden="1">
      <c r="F48" s="72"/>
      <c r="G48" s="73"/>
      <c r="K48" s="62"/>
      <c r="L48" s="70"/>
      <c r="M48" s="64"/>
    </row>
    <row r="49" spans="3:12" s="61" customFormat="1" ht="18" hidden="1">
      <c r="C49" s="62"/>
      <c r="D49" s="65"/>
      <c r="K49" s="62"/>
      <c r="L49" s="69"/>
    </row>
    <row r="50" spans="3:4" s="61" customFormat="1" ht="18" hidden="1">
      <c r="C50" s="62"/>
      <c r="D50" s="68"/>
    </row>
    <row r="51" spans="3:4" s="61" customFormat="1" ht="18" hidden="1">
      <c r="C51" s="62"/>
      <c r="D51" s="68"/>
    </row>
    <row r="52" spans="3:4" s="61" customFormat="1" ht="12.75" customHeight="1" hidden="1">
      <c r="C52" s="62"/>
      <c r="D52" s="74"/>
    </row>
    <row r="53" spans="3:7" s="61" customFormat="1" ht="18" hidden="1">
      <c r="C53" s="64"/>
      <c r="D53" s="64"/>
      <c r="E53" s="64"/>
      <c r="F53" s="64"/>
      <c r="G53" s="75"/>
    </row>
    <row r="54" spans="3:7" s="61" customFormat="1" ht="18" hidden="1">
      <c r="C54" s="64"/>
      <c r="D54" s="64"/>
      <c r="E54" s="64"/>
      <c r="F54" s="64"/>
      <c r="G54" s="75"/>
    </row>
    <row r="55" spans="3:7" s="61" customFormat="1" ht="18" hidden="1">
      <c r="C55" s="73"/>
      <c r="D55" s="73"/>
      <c r="E55" s="73"/>
      <c r="F55" s="73"/>
      <c r="G55" s="73"/>
    </row>
    <row r="56" spans="3:7" ht="12.75" customHeight="1" hidden="1">
      <c r="C56" s="60"/>
      <c r="D56" s="60"/>
      <c r="E56" s="60"/>
      <c r="F56" s="60"/>
      <c r="G56" s="60"/>
    </row>
    <row r="57" spans="2:7" ht="12.75" hidden="1">
      <c r="B57" s="60"/>
      <c r="C57" s="60"/>
      <c r="D57" s="60"/>
      <c r="E57" s="60"/>
      <c r="F57" s="60"/>
      <c r="G57" s="60"/>
    </row>
    <row r="58" spans="2:15" ht="12.75" hidden="1">
      <c r="B58" s="60"/>
      <c r="C58" s="60"/>
      <c r="D58" s="60"/>
      <c r="E58" s="60"/>
      <c r="F58" s="60"/>
      <c r="G58" s="60"/>
      <c r="L58" s="12"/>
      <c r="M58" s="12"/>
      <c r="N58" s="12"/>
      <c r="O58" s="12"/>
    </row>
    <row r="59" spans="1:9" s="12" customFormat="1" ht="12.75" hidden="1">
      <c r="A59" s="9"/>
      <c r="B59" s="9"/>
      <c r="C59" s="9"/>
      <c r="D59" s="9"/>
      <c r="E59" s="9"/>
      <c r="F59" s="9"/>
      <c r="G59" s="9"/>
      <c r="H59" s="9"/>
      <c r="I59" s="59"/>
    </row>
    <row r="60" spans="1:9" s="12" customFormat="1" ht="12.75" hidden="1">
      <c r="A60" s="9"/>
      <c r="B60" s="59"/>
      <c r="C60" s="59"/>
      <c r="D60" s="59"/>
      <c r="E60" s="59"/>
      <c r="F60" s="59"/>
      <c r="G60" s="59"/>
      <c r="H60" s="59"/>
      <c r="I60" s="59"/>
    </row>
    <row r="61" spans="1:9" s="12" customFormat="1" ht="12.75" hidden="1">
      <c r="A61" s="9"/>
      <c r="B61" s="59"/>
      <c r="C61" s="59"/>
      <c r="D61" s="59"/>
      <c r="E61" s="59"/>
      <c r="F61" s="59"/>
      <c r="G61" s="59"/>
      <c r="H61" s="59"/>
      <c r="I61" s="59"/>
    </row>
    <row r="62" spans="1:11" s="12" customFormat="1" ht="12.75" hidden="1">
      <c r="A62" s="9"/>
      <c r="B62" s="9"/>
      <c r="C62" s="9"/>
      <c r="D62" s="9"/>
      <c r="E62" s="9"/>
      <c r="G62" s="9"/>
      <c r="H62" s="9"/>
      <c r="I62" s="9"/>
      <c r="J62" s="9"/>
      <c r="K62" s="9"/>
    </row>
    <row r="63" spans="1:11" s="12" customFormat="1" ht="12.75" hidden="1">
      <c r="A63" s="9"/>
      <c r="B63" s="9"/>
      <c r="C63" s="9"/>
      <c r="D63" s="9"/>
      <c r="E63" s="9"/>
      <c r="G63" s="9"/>
      <c r="H63" s="9"/>
      <c r="I63" s="9"/>
      <c r="J63" s="9"/>
      <c r="K63" s="9"/>
    </row>
    <row r="64" spans="1:11" s="12" customFormat="1" ht="12.75" hidden="1">
      <c r="A64" s="9"/>
      <c r="B64" s="9"/>
      <c r="C64" s="9"/>
      <c r="D64" s="9"/>
      <c r="E64" s="9"/>
      <c r="G64" s="9"/>
      <c r="H64" s="9"/>
      <c r="I64" s="9"/>
      <c r="J64" s="9"/>
      <c r="K64" s="9"/>
    </row>
    <row r="65" ht="12.75" hidden="1"/>
    <row r="66" ht="12.75" hidden="1"/>
    <row r="67" ht="12.75" hidden="1"/>
    <row r="68" ht="12.75"/>
  </sheetData>
  <sheetProtection password="C612" sheet="1" objects="1" scenarios="1"/>
  <mergeCells count="14">
    <mergeCell ref="A8:C9"/>
    <mergeCell ref="D8:H9"/>
    <mergeCell ref="A20:C21"/>
    <mergeCell ref="D20:H21"/>
    <mergeCell ref="A5:I5"/>
    <mergeCell ref="B33:H35"/>
    <mergeCell ref="D16:H18"/>
    <mergeCell ref="A23:C24"/>
    <mergeCell ref="D23:H24"/>
    <mergeCell ref="A26:C27"/>
    <mergeCell ref="D26:H27"/>
    <mergeCell ref="A13:C14"/>
    <mergeCell ref="D13:H14"/>
    <mergeCell ref="D11:H11"/>
  </mergeCells>
  <conditionalFormatting sqref="G47:G48">
    <cfRule type="cellIs" priority="1" dxfId="33" operator="greaterThan" stopIfTrue="1">
      <formula>"Gasket"</formula>
    </cfRule>
  </conditionalFormatting>
  <conditionalFormatting sqref="C53:G55 F47:F48">
    <cfRule type="cellIs" priority="2" dxfId="33" operator="greaterThan" stopIfTrue="1">
      <formula>"bolt"</formula>
    </cfRule>
  </conditionalFormatting>
  <conditionalFormatting sqref="C56:G58 B57:B58">
    <cfRule type="cellIs" priority="3" dxfId="33" operator="greaterThan" stopIfTrue="1">
      <formula>"it"</formula>
    </cfRule>
  </conditionalFormatting>
  <conditionalFormatting sqref="B33:H35">
    <cfRule type="cellIs" priority="4" dxfId="34" operator="greaterThan" stopIfTrue="1">
      <formula>"bolt"</formula>
    </cfRule>
  </conditionalFormatting>
  <printOptions horizontalCentered="1" verticalCentered="1"/>
  <pageMargins left="0.5" right="0.75" top="1" bottom="1" header="0.5" footer="0.5"/>
  <pageSetup horizontalDpi="96" verticalDpi="96" orientation="portrait" r:id="rId2"/>
  <drawing r:id="rId1"/>
</worksheet>
</file>

<file path=xl/worksheets/sheet8.xml><?xml version="1.0" encoding="utf-8"?>
<worksheet xmlns="http://schemas.openxmlformats.org/spreadsheetml/2006/main" xmlns:r="http://schemas.openxmlformats.org/officeDocument/2006/relationships">
  <sheetPr codeName="Sheet9"/>
  <dimension ref="A1:O98"/>
  <sheetViews>
    <sheetView zoomScalePageLayoutView="0" workbookViewId="0" topLeftCell="A1">
      <selection activeCell="D8" sqref="D8:H9"/>
    </sheetView>
  </sheetViews>
  <sheetFormatPr defaultColWidth="0" defaultRowHeight="12.75" customHeight="1" zeroHeight="1"/>
  <cols>
    <col min="1" max="8" width="9.00390625" style="9" customWidth="1"/>
    <col min="9" max="9" width="12.8515625" style="9" hidden="1" customWidth="1"/>
    <col min="10" max="10" width="11.140625" style="9" hidden="1" customWidth="1"/>
    <col min="11" max="11" width="10.421875" style="9" hidden="1" customWidth="1"/>
    <col min="12" max="12" width="10.7109375" style="9" hidden="1" customWidth="1"/>
    <col min="13" max="14" width="9.140625" style="9" hidden="1" customWidth="1"/>
    <col min="15" max="16384" width="9.140625" style="9" hidden="1" customWidth="1"/>
  </cols>
  <sheetData>
    <row r="1" spans="1:8" ht="12.75">
      <c r="A1" s="7"/>
      <c r="B1" s="7"/>
      <c r="C1" s="7"/>
      <c r="D1" s="7"/>
      <c r="E1" s="7"/>
      <c r="F1" s="7"/>
      <c r="G1" s="8"/>
      <c r="H1" s="7"/>
    </row>
    <row r="2" spans="1:8" ht="12.75">
      <c r="A2" s="7"/>
      <c r="B2" s="7"/>
      <c r="C2" s="7"/>
      <c r="D2" s="7"/>
      <c r="F2" s="106"/>
      <c r="G2" s="106"/>
      <c r="H2" s="7"/>
    </row>
    <row r="3" spans="1:8" ht="12.75">
      <c r="A3" s="7"/>
      <c r="B3" s="7"/>
      <c r="C3" s="7"/>
      <c r="D3" s="7"/>
      <c r="E3" s="106"/>
      <c r="F3" s="106"/>
      <c r="G3" s="106"/>
      <c r="H3" s="7"/>
    </row>
    <row r="4" spans="1:8" ht="12.75">
      <c r="A4" s="7"/>
      <c r="B4" s="7"/>
      <c r="C4" s="7"/>
      <c r="D4" s="7"/>
      <c r="E4" s="106"/>
      <c r="F4" s="106"/>
      <c r="G4" s="106"/>
      <c r="H4" s="7"/>
    </row>
    <row r="5" spans="1:8" ht="12.75">
      <c r="A5" s="7"/>
      <c r="B5" s="7"/>
      <c r="C5" s="7"/>
      <c r="D5" s="7"/>
      <c r="E5" s="106"/>
      <c r="F5" s="106"/>
      <c r="G5" s="106"/>
      <c r="H5" s="7"/>
    </row>
    <row r="6" spans="1:8" ht="12.75">
      <c r="A6" s="171" t="s">
        <v>189</v>
      </c>
      <c r="B6" s="171"/>
      <c r="C6" s="171"/>
      <c r="D6" s="171"/>
      <c r="E6" s="171"/>
      <c r="F6" s="171"/>
      <c r="G6" s="171"/>
      <c r="H6" s="171"/>
    </row>
    <row r="7" spans="1:8" ht="12.75">
      <c r="A7" s="7"/>
      <c r="B7" s="7"/>
      <c r="C7" s="7"/>
      <c r="D7" s="7"/>
      <c r="E7" s="7"/>
      <c r="F7" s="11"/>
      <c r="G7" s="7"/>
      <c r="H7" s="7"/>
    </row>
    <row r="8" spans="1:8" ht="12.75" customHeight="1">
      <c r="A8" s="7"/>
      <c r="B8" s="41" t="s">
        <v>296</v>
      </c>
      <c r="C8" s="7"/>
      <c r="D8" s="7"/>
      <c r="E8" s="11"/>
      <c r="F8" s="11"/>
      <c r="G8" s="7"/>
      <c r="H8" s="7"/>
    </row>
    <row r="9" spans="1:8" ht="12.75">
      <c r="A9" s="7"/>
      <c r="B9" s="7"/>
      <c r="C9" s="13" t="s">
        <v>141</v>
      </c>
      <c r="D9" s="46"/>
      <c r="E9" s="8" t="s">
        <v>5</v>
      </c>
      <c r="F9" s="11"/>
      <c r="G9" s="7"/>
      <c r="H9" s="7"/>
    </row>
    <row r="10" spans="1:12" ht="12.75" customHeight="1">
      <c r="A10" s="7"/>
      <c r="B10" s="7"/>
      <c r="C10" s="13" t="s">
        <v>142</v>
      </c>
      <c r="D10" s="47"/>
      <c r="E10" s="8" t="s">
        <v>5</v>
      </c>
      <c r="F10" s="11"/>
      <c r="G10" s="7"/>
      <c r="H10" s="7"/>
      <c r="J10" s="15"/>
      <c r="K10" s="16"/>
      <c r="L10" s="17"/>
    </row>
    <row r="11" spans="1:12" ht="12.75">
      <c r="A11" s="7"/>
      <c r="B11" s="7"/>
      <c r="C11" s="13" t="s">
        <v>7</v>
      </c>
      <c r="D11" s="48"/>
      <c r="E11" s="8"/>
      <c r="F11" s="11"/>
      <c r="G11" s="7"/>
      <c r="H11" s="7"/>
      <c r="I11" s="17"/>
      <c r="J11" s="15"/>
      <c r="K11" s="16"/>
      <c r="L11" s="17"/>
    </row>
    <row r="12" spans="1:12" ht="12.75">
      <c r="A12" s="7"/>
      <c r="B12" s="7"/>
      <c r="C12" s="13" t="s">
        <v>8</v>
      </c>
      <c r="D12" s="49"/>
      <c r="E12" s="8" t="s">
        <v>5</v>
      </c>
      <c r="F12" s="11"/>
      <c r="G12" s="7"/>
      <c r="H12" s="7"/>
      <c r="I12" s="17"/>
      <c r="J12" s="15"/>
      <c r="K12" s="16" t="s">
        <v>294</v>
      </c>
      <c r="L12" s="17">
        <v>60</v>
      </c>
    </row>
    <row r="13" spans="1:12" ht="12.75">
      <c r="A13" s="7"/>
      <c r="B13" s="7"/>
      <c r="C13" s="13" t="s">
        <v>114</v>
      </c>
      <c r="D13" s="103"/>
      <c r="E13" s="8" t="s">
        <v>5</v>
      </c>
      <c r="F13" s="11"/>
      <c r="G13" s="7"/>
      <c r="H13" s="7"/>
      <c r="I13" s="17"/>
      <c r="J13" s="15"/>
      <c r="K13" s="16"/>
      <c r="L13" s="17"/>
    </row>
    <row r="14" spans="1:9" ht="12.75">
      <c r="A14" s="7"/>
      <c r="B14" s="7"/>
      <c r="C14" s="13" t="s">
        <v>9</v>
      </c>
      <c r="D14" s="20">
        <f>IF(IF(OR(D13&gt;D10,D13&lt;D9),IF(D13=0,PI()*(D10^2-D9^2)/4,PI()*(D10^2-D9^2)/4),PI()*(D10^2-D9^2)/4-D11*PI()*((D12+1/8)/2)^2)&gt;0,IF(OR(D13&gt;D10,D13&lt;D9),IF(D13=0,PI()*(D10^2-D9^2)/4,PI()*(D10^2-D9^2)/4),PI()*(D10^2-D9^2)/4-D11*PI()*((D12+1/8)/2)^2),"")</f>
      </c>
      <c r="E14" s="8" t="s">
        <v>10</v>
      </c>
      <c r="F14" s="11"/>
      <c r="G14" s="7"/>
      <c r="H14" s="7"/>
      <c r="I14" s="50"/>
    </row>
    <row r="15" spans="1:9" ht="12.75">
      <c r="A15" s="7"/>
      <c r="B15" s="7"/>
      <c r="C15" s="7"/>
      <c r="D15" s="7"/>
      <c r="E15" s="7"/>
      <c r="F15" s="7"/>
      <c r="G15" s="7"/>
      <c r="H15" s="7"/>
      <c r="I15" s="17"/>
    </row>
    <row r="16" spans="1:8" ht="12.75" customHeight="1">
      <c r="A16" s="7"/>
      <c r="B16" s="42" t="s">
        <v>155</v>
      </c>
      <c r="C16" s="7"/>
      <c r="D16" s="21"/>
      <c r="E16" s="11"/>
      <c r="F16" s="11"/>
      <c r="G16" s="7"/>
      <c r="H16" s="7"/>
    </row>
    <row r="17" spans="1:13" ht="12.75" customHeight="1">
      <c r="A17" s="7"/>
      <c r="B17" s="7"/>
      <c r="C17" s="13" t="s">
        <v>12</v>
      </c>
      <c r="D17" s="128"/>
      <c r="E17" s="129"/>
      <c r="F17" s="129"/>
      <c r="G17" s="130"/>
      <c r="H17" s="7"/>
      <c r="J17" s="17"/>
      <c r="K17" s="15" t="s">
        <v>145</v>
      </c>
      <c r="L17" s="17" t="e">
        <f>VLOOKUP(D17,Yield!X2:AA24,3)</f>
        <v>#N/A</v>
      </c>
      <c r="M17" s="17" t="s">
        <v>3</v>
      </c>
    </row>
    <row r="18" spans="1:13" ht="12.75" customHeight="1">
      <c r="A18" s="7"/>
      <c r="B18" s="7"/>
      <c r="C18" s="13"/>
      <c r="D18" s="134"/>
      <c r="E18" s="135"/>
      <c r="F18" s="135"/>
      <c r="G18" s="136"/>
      <c r="H18" s="7"/>
      <c r="J18" s="22"/>
      <c r="K18" s="15" t="s">
        <v>144</v>
      </c>
      <c r="L18" s="113" t="e">
        <f>((($D$9/2)^2*(3.14)*($L$12))+($D$14*($D$21)))/((12*($D$11))/(($D$26)*($D$12)))</f>
        <v>#VALUE!</v>
      </c>
      <c r="M18" s="17" t="s">
        <v>18</v>
      </c>
    </row>
    <row r="19" spans="1:13" ht="12.75">
      <c r="A19" s="7"/>
      <c r="B19" s="7"/>
      <c r="C19" s="13" t="s">
        <v>13</v>
      </c>
      <c r="D19" s="139">
        <f>IF(D17="","",VLOOKUP(D17,Yield!X2:AA24,2))</f>
      </c>
      <c r="E19" s="140"/>
      <c r="F19" s="140"/>
      <c r="G19" s="141"/>
      <c r="H19" s="7"/>
      <c r="K19" s="15" t="s">
        <v>149</v>
      </c>
      <c r="L19" s="24" t="e">
        <f>(12*($L$18)/(($D$26)*($D$12)))/($D$27)</f>
        <v>#VALUE!</v>
      </c>
      <c r="M19" s="9" t="s">
        <v>3</v>
      </c>
    </row>
    <row r="20" spans="1:12" ht="12.75">
      <c r="A20" s="7"/>
      <c r="B20" s="7"/>
      <c r="C20" s="13"/>
      <c r="D20" s="142"/>
      <c r="E20" s="143"/>
      <c r="F20" s="143"/>
      <c r="G20" s="144"/>
      <c r="H20" s="7"/>
      <c r="K20" s="15" t="s">
        <v>148</v>
      </c>
      <c r="L20" s="25" t="e">
        <f>L19/$D$25</f>
        <v>#VALUE!</v>
      </c>
    </row>
    <row r="21" spans="1:8" ht="12.75">
      <c r="A21" s="7"/>
      <c r="B21" s="7"/>
      <c r="C21" s="13" t="s">
        <v>115</v>
      </c>
      <c r="D21" s="39">
        <f>IF(D17="","",VLOOKUP(D17,Yield!X2:AA24,3))</f>
      </c>
      <c r="E21" s="8" t="s">
        <v>3</v>
      </c>
      <c r="F21" s="8"/>
      <c r="G21" s="7"/>
      <c r="H21" s="7"/>
    </row>
    <row r="22" spans="1:13" ht="12.75" customHeight="1">
      <c r="A22" s="7"/>
      <c r="B22" s="7"/>
      <c r="C22" s="13" t="s">
        <v>116</v>
      </c>
      <c r="D22" s="38">
        <f>IF(D17="","",VLOOKUP(D17,Yield!X2:AA24,4))</f>
      </c>
      <c r="E22" s="8" t="s">
        <v>3</v>
      </c>
      <c r="F22" s="8"/>
      <c r="G22" s="7"/>
      <c r="H22" s="7"/>
      <c r="K22" s="15" t="s">
        <v>154</v>
      </c>
      <c r="L22" s="24" t="e">
        <f>((12*($L$23)*($D$11))/(($D$26)*($D$12))-(3.14*($D$9/2)^2*($L$12)))/$D$14</f>
        <v>#VALUE!</v>
      </c>
      <c r="M22" s="9" t="s">
        <v>3</v>
      </c>
    </row>
    <row r="23" spans="1:13" ht="12.75">
      <c r="A23" s="7"/>
      <c r="B23" s="7"/>
      <c r="C23" s="13" t="s">
        <v>117</v>
      </c>
      <c r="D23" s="128"/>
      <c r="E23" s="129"/>
      <c r="F23" s="129"/>
      <c r="G23" s="130"/>
      <c r="H23" s="7"/>
      <c r="K23" s="15" t="s">
        <v>153</v>
      </c>
      <c r="L23" s="23" t="e">
        <f>$D$26*(L24*$D$27)*$D$12/12</f>
        <v>#VALUE!</v>
      </c>
      <c r="M23" s="17" t="s">
        <v>18</v>
      </c>
    </row>
    <row r="24" spans="1:13" ht="12.75">
      <c r="A24" s="7"/>
      <c r="B24" s="7"/>
      <c r="C24" s="13"/>
      <c r="D24" s="134"/>
      <c r="E24" s="135"/>
      <c r="F24" s="135"/>
      <c r="G24" s="136"/>
      <c r="H24" s="7"/>
      <c r="K24" s="15" t="s">
        <v>152</v>
      </c>
      <c r="L24" s="27" t="e">
        <f>L25*$D$25</f>
        <v>#VALUE!</v>
      </c>
      <c r="M24" s="17" t="s">
        <v>3</v>
      </c>
    </row>
    <row r="25" spans="1:13" ht="12.75">
      <c r="A25" s="7"/>
      <c r="B25" s="7"/>
      <c r="C25" s="13" t="s">
        <v>16</v>
      </c>
      <c r="D25" s="40">
        <f>IF(D23="","",VLOOKUP(D23,Yield!A3:U31,MATCH(D12,Bolt_Size)+1))</f>
      </c>
      <c r="E25" s="8" t="s">
        <v>3</v>
      </c>
      <c r="F25" s="7"/>
      <c r="G25" s="7"/>
      <c r="H25" s="7"/>
      <c r="K25" s="15" t="s">
        <v>151</v>
      </c>
      <c r="L25" s="25">
        <v>0.4</v>
      </c>
      <c r="M25" s="26"/>
    </row>
    <row r="26" spans="1:8" ht="12.75">
      <c r="A26" s="7"/>
      <c r="B26" s="7"/>
      <c r="C26" s="13" t="s">
        <v>17</v>
      </c>
      <c r="D26" s="43"/>
      <c r="E26" s="8"/>
      <c r="F26" s="7"/>
      <c r="G26" s="7"/>
      <c r="H26" s="7"/>
    </row>
    <row r="27" spans="1:13" ht="12.75">
      <c r="A27" s="7"/>
      <c r="B27" s="7"/>
      <c r="C27" s="13" t="s">
        <v>274</v>
      </c>
      <c r="D27" s="28">
        <f>IF(ISERROR(HLOOKUP(D12,Yield!B1:U2,2)),"",HLOOKUP(D12,Yield!B1:U2,2))</f>
      </c>
      <c r="E27" s="8" t="s">
        <v>10</v>
      </c>
      <c r="F27" s="7"/>
      <c r="G27" s="7"/>
      <c r="H27" s="7"/>
      <c r="K27" s="15" t="s">
        <v>146</v>
      </c>
      <c r="L27" s="17" t="e">
        <f>VLOOKUP(D17,Yield!X2:AA24,4)</f>
        <v>#N/A</v>
      </c>
      <c r="M27" s="17" t="s">
        <v>3</v>
      </c>
    </row>
    <row r="28" spans="1:13" ht="13.5" thickBot="1">
      <c r="A28" s="7"/>
      <c r="B28" s="7"/>
      <c r="C28" s="7"/>
      <c r="D28" s="7"/>
      <c r="E28" s="7"/>
      <c r="F28" s="7"/>
      <c r="G28" s="7"/>
      <c r="H28" s="7"/>
      <c r="K28" s="15" t="s">
        <v>143</v>
      </c>
      <c r="L28" s="23" t="e">
        <f>((($D$9/2)^2*(3.14)*($L$12))+($D$14*($D$22)))/((12*($D$11))/(($D$26)*($D$12)))</f>
        <v>#VALUE!</v>
      </c>
      <c r="M28" s="17" t="s">
        <v>18</v>
      </c>
    </row>
    <row r="29" spans="1:13" ht="14.25" thickBot="1" thickTop="1">
      <c r="A29" s="7"/>
      <c r="B29" s="7"/>
      <c r="C29" s="13" t="s">
        <v>156</v>
      </c>
      <c r="D29" s="51">
        <f>IF(ISERROR(L28),"",IF(MAX(L18,L23)&gt;MIN(L28,L33),MIN(L28,L33),MAX(L18,L23)))</f>
      </c>
      <c r="E29" s="7" t="s">
        <v>160</v>
      </c>
      <c r="F29" s="8"/>
      <c r="G29" s="8"/>
      <c r="H29" s="7"/>
      <c r="K29" s="15" t="s">
        <v>150</v>
      </c>
      <c r="L29" s="24" t="e">
        <f>(12*($L$28)/(($D$26)*($D$12)))/($D$27)</f>
        <v>#VALUE!</v>
      </c>
      <c r="M29" s="9" t="s">
        <v>3</v>
      </c>
    </row>
    <row r="30" spans="1:13" ht="13.5" thickTop="1">
      <c r="A30" s="7"/>
      <c r="B30" s="7"/>
      <c r="C30" s="13" t="s">
        <v>37</v>
      </c>
      <c r="D30" s="45">
        <f>IF(ISERROR(L28),"",((($D$31*$D$27*$D$11)-(3.14*($D$9/2)^2*($L$12)))/$D$14))</f>
      </c>
      <c r="E30" s="7" t="s">
        <v>3</v>
      </c>
      <c r="F30" s="7"/>
      <c r="G30" s="7"/>
      <c r="H30" s="7"/>
      <c r="K30" s="15" t="s">
        <v>147</v>
      </c>
      <c r="L30" s="25" t="e">
        <f>L29/$D$25</f>
        <v>#VALUE!</v>
      </c>
      <c r="M30" s="26"/>
    </row>
    <row r="31" spans="1:8" ht="12.75">
      <c r="A31" s="7"/>
      <c r="B31" s="7"/>
      <c r="C31" s="13" t="s">
        <v>157</v>
      </c>
      <c r="D31" s="29">
        <f>IF(ISERROR(L28),"",D29/($D$26*$D$12/12*$D$27))</f>
      </c>
      <c r="E31" s="7" t="s">
        <v>3</v>
      </c>
      <c r="F31" s="8"/>
      <c r="G31" s="8"/>
      <c r="H31" s="7"/>
    </row>
    <row r="32" spans="1:13" ht="12.75" customHeight="1">
      <c r="A32" s="7"/>
      <c r="B32" s="7"/>
      <c r="C32" s="13" t="s">
        <v>158</v>
      </c>
      <c r="D32" s="30">
        <f>IF(ISERROR(L28),"",D31/$D$25)</f>
      </c>
      <c r="E32" s="7"/>
      <c r="F32" s="7"/>
      <c r="G32" s="7"/>
      <c r="H32" s="7"/>
      <c r="K32" s="15" t="s">
        <v>281</v>
      </c>
      <c r="L32" s="24" t="e">
        <f>((12*($L$33)*($D$11))/(($D$26)*($D$12))-(3.14*($D$9/2)^2*($L$12)))/$D$14</f>
        <v>#VALUE!</v>
      </c>
      <c r="M32" s="9" t="s">
        <v>3</v>
      </c>
    </row>
    <row r="33" spans="1:13" ht="12.75" customHeight="1">
      <c r="A33" s="7"/>
      <c r="B33" s="137">
        <f>IF(ISERROR(D32),"",IF(D30&lt;D21,J40,IF(D32&lt;L25,J41,"")))</f>
      </c>
      <c r="C33" s="137"/>
      <c r="D33" s="137"/>
      <c r="E33" s="137"/>
      <c r="F33" s="137"/>
      <c r="G33" s="31"/>
      <c r="H33" s="7"/>
      <c r="K33" s="15" t="s">
        <v>282</v>
      </c>
      <c r="L33" s="23" t="e">
        <f>$D$26*(L34*$D$27)*$D$12/12</f>
        <v>#VALUE!</v>
      </c>
      <c r="M33" s="17" t="s">
        <v>18</v>
      </c>
    </row>
    <row r="34" spans="1:13" ht="13.5" thickBot="1">
      <c r="A34" s="7"/>
      <c r="B34" s="137"/>
      <c r="C34" s="137"/>
      <c r="D34" s="137"/>
      <c r="E34" s="137"/>
      <c r="F34" s="137"/>
      <c r="G34" s="31"/>
      <c r="H34" s="7"/>
      <c r="K34" s="15" t="s">
        <v>283</v>
      </c>
      <c r="L34" s="27" t="e">
        <f>L35*$D$25</f>
        <v>#VALUE!</v>
      </c>
      <c r="M34" s="17" t="s">
        <v>3</v>
      </c>
    </row>
    <row r="35" spans="1:12" ht="14.25" thickBot="1" thickTop="1">
      <c r="A35" s="7"/>
      <c r="B35" s="7"/>
      <c r="C35" s="13" t="s">
        <v>159</v>
      </c>
      <c r="D35" s="51">
        <f>IF(ISERROR(L28),"",IF(MAX(L18,L23)&gt;MIN(L28,L33),MAX(L18,L23),MIN(L28,L33)))</f>
      </c>
      <c r="E35" s="7" t="s">
        <v>160</v>
      </c>
      <c r="F35" s="7"/>
      <c r="G35" s="7"/>
      <c r="H35" s="7"/>
      <c r="K35" s="15" t="s">
        <v>284</v>
      </c>
      <c r="L35" s="25">
        <v>0.9</v>
      </c>
    </row>
    <row r="36" spans="1:8" ht="13.5" thickTop="1">
      <c r="A36" s="7"/>
      <c r="B36" s="7"/>
      <c r="C36" s="13" t="s">
        <v>37</v>
      </c>
      <c r="D36" s="45">
        <f>IF(ISERROR(L28),"",((($D$37*$D$27*$D$11)-(3.14*($D$9/2)^2*($L$12)))/$D$14))</f>
      </c>
      <c r="E36" s="7" t="s">
        <v>3</v>
      </c>
      <c r="F36" s="7"/>
      <c r="G36" s="7"/>
      <c r="H36" s="7"/>
    </row>
    <row r="37" spans="1:8" ht="12.75">
      <c r="A37" s="7"/>
      <c r="B37" s="7"/>
      <c r="C37" s="13" t="s">
        <v>157</v>
      </c>
      <c r="D37" s="29">
        <f>IF(ISERROR(L28),"",D35/($D$26*$D$12/12*$D$27))</f>
      </c>
      <c r="E37" s="7" t="s">
        <v>3</v>
      </c>
      <c r="F37" s="7"/>
      <c r="G37" s="7"/>
      <c r="H37" s="7"/>
    </row>
    <row r="38" spans="1:8" ht="12.75" customHeight="1">
      <c r="A38" s="7"/>
      <c r="B38" s="7"/>
      <c r="C38" s="13" t="s">
        <v>158</v>
      </c>
      <c r="D38" s="30">
        <f>IF(ISERROR(L28),"",D37/$D$25)</f>
      </c>
      <c r="E38" s="7"/>
      <c r="F38" s="7"/>
      <c r="G38" s="7"/>
      <c r="H38" s="7"/>
    </row>
    <row r="39" spans="1:8" ht="12.75" customHeight="1">
      <c r="A39" s="7"/>
      <c r="B39" s="137">
        <f>IF(ISERROR(L30),"",IF(D38&gt;L35,J42,IF(D36&gt;D22,J43,"")))</f>
      </c>
      <c r="C39" s="145"/>
      <c r="D39" s="145"/>
      <c r="E39" s="145"/>
      <c r="F39" s="145"/>
      <c r="G39" s="32"/>
      <c r="H39" s="7"/>
    </row>
    <row r="40" spans="1:10" ht="12.75">
      <c r="A40" s="7"/>
      <c r="B40" s="145"/>
      <c r="C40" s="145"/>
      <c r="D40" s="145"/>
      <c r="E40" s="145"/>
      <c r="F40" s="145"/>
      <c r="G40" s="32"/>
      <c r="H40" s="7"/>
      <c r="J40" s="9" t="s">
        <v>218</v>
      </c>
    </row>
    <row r="41" spans="1:10" ht="12.75">
      <c r="A41" s="7"/>
      <c r="B41" s="7"/>
      <c r="C41" s="31"/>
      <c r="D41" s="31"/>
      <c r="E41" s="31"/>
      <c r="F41" s="31"/>
      <c r="G41" s="31"/>
      <c r="H41" s="7"/>
      <c r="J41" s="9" t="s">
        <v>285</v>
      </c>
    </row>
    <row r="42" spans="1:10" ht="12.75" customHeight="1">
      <c r="A42" s="7"/>
      <c r="B42" s="137">
        <f>IF(AND(B33=J40,B39=J42),J44,IF(AND(B33=J41,B39=J43),J45,""))</f>
      </c>
      <c r="C42" s="138"/>
      <c r="D42" s="138"/>
      <c r="E42" s="138"/>
      <c r="F42" s="138"/>
      <c r="G42" s="138"/>
      <c r="H42" s="7"/>
      <c r="J42" s="9" t="s">
        <v>219</v>
      </c>
    </row>
    <row r="43" spans="1:10" ht="12.75">
      <c r="A43" s="7"/>
      <c r="B43" s="138"/>
      <c r="C43" s="138"/>
      <c r="D43" s="138"/>
      <c r="E43" s="138"/>
      <c r="F43" s="138"/>
      <c r="G43" s="138"/>
      <c r="H43" s="7"/>
      <c r="J43" s="9" t="s">
        <v>220</v>
      </c>
    </row>
    <row r="44" spans="1:15" ht="12.75">
      <c r="A44" s="7"/>
      <c r="B44" s="138"/>
      <c r="C44" s="138"/>
      <c r="D44" s="138"/>
      <c r="E44" s="138"/>
      <c r="F44" s="138"/>
      <c r="G44" s="138"/>
      <c r="H44" s="7"/>
      <c r="J44" s="9" t="s">
        <v>255</v>
      </c>
      <c r="L44" s="12"/>
      <c r="M44" s="12"/>
      <c r="N44" s="12"/>
      <c r="O44" s="12"/>
    </row>
    <row r="45" spans="1:10" s="12" customFormat="1" ht="12.75">
      <c r="A45" s="7"/>
      <c r="B45" s="7"/>
      <c r="C45" s="7"/>
      <c r="D45" s="7"/>
      <c r="E45" s="7"/>
      <c r="F45" s="7"/>
      <c r="G45" s="7"/>
      <c r="H45" s="7"/>
      <c r="J45" s="12" t="s">
        <v>256</v>
      </c>
    </row>
    <row r="46" s="12" customFormat="1" ht="12.75" hidden="1">
      <c r="A46" s="9"/>
    </row>
    <row r="47" s="12" customFormat="1" ht="12.75" hidden="1">
      <c r="A47" s="9"/>
    </row>
    <row r="48" spans="1:11" s="12" customFormat="1" ht="12.75" hidden="1">
      <c r="A48" s="9"/>
      <c r="B48" s="9"/>
      <c r="C48" s="9"/>
      <c r="D48" s="9"/>
      <c r="E48" s="9"/>
      <c r="G48" s="9"/>
      <c r="H48" s="9"/>
      <c r="I48" s="9"/>
      <c r="J48" s="9"/>
      <c r="K48" s="9"/>
    </row>
    <row r="49" spans="1:11" s="12" customFormat="1" ht="12.75" hidden="1">
      <c r="A49" s="9"/>
      <c r="B49" s="9"/>
      <c r="C49" s="9"/>
      <c r="D49" s="9"/>
      <c r="E49" s="9"/>
      <c r="G49" s="9"/>
      <c r="H49" s="9"/>
      <c r="I49" s="9"/>
      <c r="J49" s="9"/>
      <c r="K49" s="9"/>
    </row>
    <row r="50" spans="1:11" s="12" customFormat="1" ht="12.75" hidden="1">
      <c r="A50" s="9"/>
      <c r="B50" s="9"/>
      <c r="C50" s="9"/>
      <c r="D50" s="9"/>
      <c r="E50" s="9"/>
      <c r="G50" s="9"/>
      <c r="H50" s="9"/>
      <c r="I50" s="9"/>
      <c r="J50" s="9"/>
      <c r="K50" s="9"/>
    </row>
    <row r="51" spans="1:11" s="12" customFormat="1" ht="12.75" hidden="1">
      <c r="A51" s="9"/>
      <c r="B51" s="9"/>
      <c r="C51" s="9"/>
      <c r="D51" s="9"/>
      <c r="E51" s="9"/>
      <c r="G51" s="9"/>
      <c r="H51" s="9"/>
      <c r="I51" s="9"/>
      <c r="J51" s="9"/>
      <c r="K51" s="9"/>
    </row>
    <row r="52" spans="1:11" s="12" customFormat="1" ht="12.75" hidden="1">
      <c r="A52" s="9"/>
      <c r="B52" s="9"/>
      <c r="C52" s="9"/>
      <c r="D52" s="9"/>
      <c r="E52" s="9"/>
      <c r="G52" s="9"/>
      <c r="H52" s="9"/>
      <c r="I52" s="9"/>
      <c r="J52" s="9"/>
      <c r="K52" s="9"/>
    </row>
    <row r="53" spans="1:11" s="12" customFormat="1" ht="12.75" hidden="1">
      <c r="A53" s="9"/>
      <c r="B53" s="9"/>
      <c r="C53" s="9"/>
      <c r="D53" s="9"/>
      <c r="E53" s="9"/>
      <c r="G53" s="9"/>
      <c r="H53" s="9"/>
      <c r="I53" s="9"/>
      <c r="J53" s="9"/>
      <c r="K53" s="9"/>
    </row>
    <row r="54" spans="1:11" s="12" customFormat="1" ht="12.75" hidden="1">
      <c r="A54" s="9"/>
      <c r="B54" s="9"/>
      <c r="C54" s="9"/>
      <c r="D54" s="9"/>
      <c r="E54" s="9"/>
      <c r="G54" s="9"/>
      <c r="H54" s="9"/>
      <c r="I54" s="9"/>
      <c r="J54" s="9"/>
      <c r="K54" s="9"/>
    </row>
    <row r="55" spans="1:11" s="12" customFormat="1" ht="12.75" hidden="1">
      <c r="A55" s="9"/>
      <c r="B55" s="9"/>
      <c r="C55" s="9"/>
      <c r="D55" s="9"/>
      <c r="E55" s="9"/>
      <c r="G55" s="9"/>
      <c r="H55" s="9"/>
      <c r="I55" s="9"/>
      <c r="J55" s="9"/>
      <c r="K55" s="9"/>
    </row>
    <row r="56" spans="1:11" s="12" customFormat="1" ht="12.75" hidden="1">
      <c r="A56" s="9"/>
      <c r="B56" s="9"/>
      <c r="C56" s="9"/>
      <c r="D56" s="9"/>
      <c r="E56" s="9"/>
      <c r="G56" s="9"/>
      <c r="H56" s="9"/>
      <c r="I56" s="9"/>
      <c r="J56" s="9"/>
      <c r="K56" s="9"/>
    </row>
    <row r="57" spans="1:11" s="12" customFormat="1" ht="12.75" hidden="1">
      <c r="A57" s="9"/>
      <c r="B57" s="9"/>
      <c r="C57" s="9"/>
      <c r="D57" s="9"/>
      <c r="E57" s="9"/>
      <c r="G57" s="9"/>
      <c r="H57" s="9"/>
      <c r="I57" s="9"/>
      <c r="J57" s="9"/>
      <c r="K57" s="9"/>
    </row>
    <row r="58" spans="1:14" s="12" customFormat="1" ht="12.75" hidden="1">
      <c r="A58" s="10"/>
      <c r="N58" s="34"/>
    </row>
    <row r="59" spans="1:14" s="12" customFormat="1" ht="12.75" hidden="1">
      <c r="A59" s="10"/>
      <c r="N59" s="34"/>
    </row>
    <row r="60" spans="1:14" s="12" customFormat="1" ht="12.75" hidden="1">
      <c r="A60" s="10"/>
      <c r="B60" s="35"/>
      <c r="N60" s="34"/>
    </row>
    <row r="61" spans="1:14" s="12" customFormat="1" ht="12.75" hidden="1">
      <c r="A61" s="10"/>
      <c r="N61" s="34"/>
    </row>
    <row r="62" spans="1:14" s="12" customFormat="1" ht="12.75" hidden="1">
      <c r="A62" s="10"/>
      <c r="N62" s="34"/>
    </row>
    <row r="63" spans="1:15" s="12" customFormat="1" ht="12.75" hidden="1">
      <c r="A63" s="10"/>
      <c r="N63" s="36"/>
      <c r="O63" s="37"/>
    </row>
    <row r="64" spans="1:15" s="12" customFormat="1" ht="12.75" hidden="1">
      <c r="A64" s="10"/>
      <c r="N64" s="36"/>
      <c r="O64" s="37"/>
    </row>
    <row r="65" spans="1:15" s="12" customFormat="1" ht="12.75" hidden="1">
      <c r="A65" s="10"/>
      <c r="N65" s="36"/>
      <c r="O65" s="37"/>
    </row>
    <row r="66" spans="1:15" s="12" customFormat="1" ht="12.75" hidden="1">
      <c r="A66" s="10"/>
      <c r="N66" s="36"/>
      <c r="O66" s="37"/>
    </row>
    <row r="67" spans="1:15" s="12" customFormat="1" ht="12.75" hidden="1">
      <c r="A67" s="10"/>
      <c r="N67" s="36"/>
      <c r="O67" s="37"/>
    </row>
    <row r="68" spans="1:15" s="12" customFormat="1" ht="12.75" hidden="1">
      <c r="A68" s="10"/>
      <c r="N68" s="36"/>
      <c r="O68" s="37"/>
    </row>
    <row r="69" spans="1:15" s="12" customFormat="1" ht="12.75" hidden="1">
      <c r="A69" s="10"/>
      <c r="N69" s="36"/>
      <c r="O69" s="37"/>
    </row>
    <row r="70" spans="1:15" s="12" customFormat="1" ht="12.75" hidden="1">
      <c r="A70" s="10"/>
      <c r="N70" s="36"/>
      <c r="O70" s="37"/>
    </row>
    <row r="71" spans="1:15" s="12" customFormat="1" ht="12.75" hidden="1">
      <c r="A71" s="10"/>
      <c r="N71" s="36"/>
      <c r="O71" s="37"/>
    </row>
    <row r="72" spans="1:15" s="12" customFormat="1" ht="12.75" hidden="1">
      <c r="A72" s="10"/>
      <c r="N72" s="36"/>
      <c r="O72" s="37"/>
    </row>
    <row r="73" spans="1:15" s="12" customFormat="1" ht="12.75" hidden="1">
      <c r="A73" s="10"/>
      <c r="N73" s="36"/>
      <c r="O73" s="37"/>
    </row>
    <row r="74" spans="1:15" s="12" customFormat="1" ht="12.75" hidden="1">
      <c r="A74" s="10"/>
      <c r="N74" s="36"/>
      <c r="O74" s="37"/>
    </row>
    <row r="75" spans="1:15" s="12" customFormat="1" ht="12.75" hidden="1">
      <c r="A75" s="10"/>
      <c r="N75" s="36"/>
      <c r="O75" s="37"/>
    </row>
    <row r="76" spans="1:15" s="12" customFormat="1" ht="12.75" hidden="1">
      <c r="A76" s="10"/>
      <c r="N76" s="36"/>
      <c r="O76" s="37"/>
    </row>
    <row r="77" spans="1:15" s="12" customFormat="1" ht="12.75" hidden="1">
      <c r="A77" s="10"/>
      <c r="N77" s="36"/>
      <c r="O77" s="37"/>
    </row>
    <row r="78" spans="1:15" s="12" customFormat="1" ht="12.75" hidden="1">
      <c r="A78" s="10"/>
      <c r="N78" s="36"/>
      <c r="O78" s="37"/>
    </row>
    <row r="79" spans="1:15" s="12" customFormat="1" ht="12.75" hidden="1">
      <c r="A79" s="10"/>
      <c r="N79" s="36"/>
      <c r="O79" s="37"/>
    </row>
    <row r="80" spans="1:15" ht="12.75" hidden="1">
      <c r="A80" s="10"/>
      <c r="B80" s="12"/>
      <c r="C80" s="12"/>
      <c r="D80" s="12"/>
      <c r="E80" s="12"/>
      <c r="F80" s="12"/>
      <c r="G80" s="12"/>
      <c r="H80" s="12"/>
      <c r="I80" s="12"/>
      <c r="J80" s="12"/>
      <c r="K80" s="12"/>
      <c r="L80" s="12"/>
      <c r="M80" s="12"/>
      <c r="N80" s="36"/>
      <c r="O80" s="37"/>
    </row>
    <row r="81" spans="1:15" ht="12.75" hidden="1">
      <c r="A81" s="10"/>
      <c r="B81" s="12"/>
      <c r="C81" s="12"/>
      <c r="D81" s="12"/>
      <c r="E81" s="12"/>
      <c r="F81" s="12"/>
      <c r="G81" s="12"/>
      <c r="H81" s="12"/>
      <c r="I81" s="12"/>
      <c r="J81" s="12"/>
      <c r="K81" s="12"/>
      <c r="L81" s="12"/>
      <c r="M81" s="12"/>
      <c r="N81" s="34"/>
      <c r="O81" s="12"/>
    </row>
    <row r="82" spans="1:15" ht="12.75" hidden="1">
      <c r="A82" s="10"/>
      <c r="B82" s="12"/>
      <c r="C82" s="12"/>
      <c r="D82" s="12"/>
      <c r="E82" s="12"/>
      <c r="F82" s="12"/>
      <c r="G82" s="12"/>
      <c r="H82" s="12"/>
      <c r="I82" s="12"/>
      <c r="J82" s="12"/>
      <c r="K82" s="12"/>
      <c r="L82" s="12"/>
      <c r="M82" s="12"/>
      <c r="N82" s="34"/>
      <c r="O82" s="12"/>
    </row>
    <row r="83" spans="1:15" ht="12.75" hidden="1">
      <c r="A83" s="10"/>
      <c r="B83" s="12"/>
      <c r="C83" s="12"/>
      <c r="D83" s="12"/>
      <c r="E83" s="12"/>
      <c r="F83" s="12"/>
      <c r="G83" s="12"/>
      <c r="H83" s="12"/>
      <c r="I83" s="12"/>
      <c r="J83" s="12"/>
      <c r="K83" s="12"/>
      <c r="L83" s="12"/>
      <c r="M83" s="12"/>
      <c r="N83" s="34"/>
      <c r="O83" s="12"/>
    </row>
    <row r="84" spans="1:15" ht="12.75" hidden="1">
      <c r="A84" s="10"/>
      <c r="B84" s="12"/>
      <c r="C84" s="12"/>
      <c r="D84" s="12"/>
      <c r="E84" s="12"/>
      <c r="F84" s="12"/>
      <c r="G84" s="12"/>
      <c r="H84" s="12"/>
      <c r="I84" s="12"/>
      <c r="J84" s="12"/>
      <c r="K84" s="12"/>
      <c r="L84" s="12"/>
      <c r="M84" s="12"/>
      <c r="N84" s="34"/>
      <c r="O84" s="12"/>
    </row>
    <row r="85" spans="1:15" ht="12.75" hidden="1">
      <c r="A85" s="10"/>
      <c r="B85" s="12"/>
      <c r="C85" s="12"/>
      <c r="D85" s="12"/>
      <c r="E85" s="12"/>
      <c r="F85" s="12"/>
      <c r="G85" s="12"/>
      <c r="H85" s="12"/>
      <c r="I85" s="12"/>
      <c r="J85" s="12"/>
      <c r="K85" s="12"/>
      <c r="L85" s="12"/>
      <c r="M85" s="12"/>
      <c r="N85" s="34"/>
      <c r="O85" s="12"/>
    </row>
    <row r="86" spans="1:15" ht="12.75" hidden="1">
      <c r="A86" s="10"/>
      <c r="B86" s="12"/>
      <c r="C86" s="12"/>
      <c r="D86" s="12"/>
      <c r="E86" s="12"/>
      <c r="F86" s="12"/>
      <c r="G86" s="12"/>
      <c r="H86" s="12"/>
      <c r="I86" s="12"/>
      <c r="J86" s="12"/>
      <c r="K86" s="12"/>
      <c r="L86" s="12"/>
      <c r="M86" s="12"/>
      <c r="N86" s="34"/>
      <c r="O86" s="12"/>
    </row>
    <row r="87" spans="1:15" ht="12.75" hidden="1">
      <c r="A87" s="10"/>
      <c r="B87" s="12"/>
      <c r="C87" s="12"/>
      <c r="D87" s="12"/>
      <c r="E87" s="12"/>
      <c r="F87" s="12"/>
      <c r="G87" s="12"/>
      <c r="H87" s="12"/>
      <c r="I87" s="12"/>
      <c r="J87" s="12"/>
      <c r="K87" s="12"/>
      <c r="L87" s="12"/>
      <c r="M87" s="12"/>
      <c r="N87" s="34"/>
      <c r="O87" s="12"/>
    </row>
    <row r="88" spans="1:15" ht="12.75" hidden="1">
      <c r="A88" s="10"/>
      <c r="B88" s="35"/>
      <c r="C88" s="12"/>
      <c r="D88" s="12"/>
      <c r="E88" s="12"/>
      <c r="F88" s="12"/>
      <c r="G88" s="12"/>
      <c r="H88" s="12"/>
      <c r="I88" s="12"/>
      <c r="J88" s="12"/>
      <c r="K88" s="12"/>
      <c r="L88" s="12"/>
      <c r="M88" s="12"/>
      <c r="N88" s="34"/>
      <c r="O88" s="12"/>
    </row>
    <row r="89" spans="1:15" ht="12.75" hidden="1">
      <c r="A89" s="10"/>
      <c r="B89" s="35"/>
      <c r="C89" s="12"/>
      <c r="D89" s="12"/>
      <c r="E89" s="12"/>
      <c r="F89" s="12"/>
      <c r="G89" s="12"/>
      <c r="H89" s="12"/>
      <c r="I89" s="12"/>
      <c r="J89" s="12"/>
      <c r="K89" s="12"/>
      <c r="L89" s="12"/>
      <c r="M89" s="12"/>
      <c r="N89" s="34"/>
      <c r="O89" s="12"/>
    </row>
    <row r="90" spans="1:15" ht="12.75" hidden="1">
      <c r="A90" s="10"/>
      <c r="B90" s="35"/>
      <c r="C90" s="12"/>
      <c r="D90" s="12"/>
      <c r="E90" s="12"/>
      <c r="F90" s="12"/>
      <c r="G90" s="12"/>
      <c r="H90" s="12"/>
      <c r="I90" s="12"/>
      <c r="J90" s="12"/>
      <c r="K90" s="12"/>
      <c r="L90" s="12"/>
      <c r="M90" s="12"/>
      <c r="N90" s="34"/>
      <c r="O90" s="12"/>
    </row>
    <row r="91" spans="1:15" ht="12.75" hidden="1">
      <c r="A91" s="10"/>
      <c r="B91" s="35"/>
      <c r="C91" s="12"/>
      <c r="D91" s="12"/>
      <c r="E91" s="12"/>
      <c r="F91" s="12"/>
      <c r="G91" s="12"/>
      <c r="H91" s="12"/>
      <c r="I91" s="12"/>
      <c r="J91" s="12"/>
      <c r="K91" s="12"/>
      <c r="L91" s="12"/>
      <c r="M91" s="12"/>
      <c r="N91" s="34"/>
      <c r="O91" s="12"/>
    </row>
    <row r="92" spans="1:15" ht="12.75" hidden="1">
      <c r="A92" s="10"/>
      <c r="B92" s="35"/>
      <c r="C92" s="12"/>
      <c r="D92" s="12"/>
      <c r="E92" s="12"/>
      <c r="F92" s="12"/>
      <c r="G92" s="12"/>
      <c r="H92" s="12"/>
      <c r="I92" s="12"/>
      <c r="J92" s="12"/>
      <c r="K92" s="12"/>
      <c r="L92" s="12"/>
      <c r="M92" s="12"/>
      <c r="N92" s="34"/>
      <c r="O92" s="12"/>
    </row>
    <row r="93" spans="1:15" ht="12.75" hidden="1">
      <c r="A93" s="10"/>
      <c r="B93" s="35"/>
      <c r="C93" s="12"/>
      <c r="D93" s="12"/>
      <c r="E93" s="12"/>
      <c r="F93" s="12"/>
      <c r="G93" s="12"/>
      <c r="H93" s="12"/>
      <c r="I93" s="12"/>
      <c r="J93" s="12"/>
      <c r="K93" s="12"/>
      <c r="L93" s="12"/>
      <c r="M93" s="12"/>
      <c r="N93" s="34"/>
      <c r="O93" s="12"/>
    </row>
    <row r="94" spans="1:15" ht="12.75" hidden="1">
      <c r="A94" s="10"/>
      <c r="B94" s="35"/>
      <c r="C94" s="12"/>
      <c r="D94" s="12"/>
      <c r="E94" s="12"/>
      <c r="F94" s="12"/>
      <c r="G94" s="12"/>
      <c r="H94" s="12"/>
      <c r="I94" s="12"/>
      <c r="J94" s="12"/>
      <c r="K94" s="12"/>
      <c r="L94" s="12"/>
      <c r="M94" s="12"/>
      <c r="N94" s="34"/>
      <c r="O94" s="12"/>
    </row>
    <row r="95" spans="1:15" ht="12.75" hidden="1">
      <c r="A95" s="10"/>
      <c r="B95" s="35"/>
      <c r="C95" s="12"/>
      <c r="D95" s="12"/>
      <c r="E95" s="12"/>
      <c r="F95" s="12"/>
      <c r="G95" s="12"/>
      <c r="H95" s="12"/>
      <c r="I95" s="12"/>
      <c r="J95" s="12"/>
      <c r="K95" s="12"/>
      <c r="L95" s="12"/>
      <c r="M95" s="12"/>
      <c r="N95" s="34"/>
      <c r="O95" s="12"/>
    </row>
    <row r="96" spans="1:15" ht="12.75" hidden="1">
      <c r="A96" s="10"/>
      <c r="B96" s="12"/>
      <c r="C96" s="12"/>
      <c r="D96" s="12"/>
      <c r="E96" s="12"/>
      <c r="F96" s="12"/>
      <c r="G96" s="12"/>
      <c r="H96" s="12"/>
      <c r="I96" s="12"/>
      <c r="J96" s="12"/>
      <c r="K96" s="12"/>
      <c r="L96" s="12"/>
      <c r="M96" s="12"/>
      <c r="N96" s="34"/>
      <c r="O96" s="12"/>
    </row>
    <row r="97" spans="1:15" ht="12.75" hidden="1">
      <c r="A97" s="10"/>
      <c r="B97" s="12"/>
      <c r="C97" s="12"/>
      <c r="D97" s="12"/>
      <c r="E97" s="12"/>
      <c r="F97" s="12"/>
      <c r="G97" s="12"/>
      <c r="H97" s="12"/>
      <c r="I97" s="12"/>
      <c r="J97" s="12"/>
      <c r="K97" s="12"/>
      <c r="L97" s="12"/>
      <c r="M97" s="12"/>
      <c r="N97" s="34"/>
      <c r="O97" s="12"/>
    </row>
    <row r="98" spans="1:15" ht="12.75" hidden="1">
      <c r="A98" s="10"/>
      <c r="B98" s="12"/>
      <c r="C98" s="12"/>
      <c r="D98" s="12"/>
      <c r="E98" s="12"/>
      <c r="F98" s="12"/>
      <c r="G98" s="12"/>
      <c r="H98" s="12"/>
      <c r="I98" s="12"/>
      <c r="J98" s="12"/>
      <c r="K98" s="12"/>
      <c r="L98" s="12"/>
      <c r="M98" s="12"/>
      <c r="N98" s="34"/>
      <c r="O98" s="12"/>
    </row>
  </sheetData>
  <sheetProtection password="C612" sheet="1" objects="1" scenarios="1"/>
  <mergeCells count="7">
    <mergeCell ref="B42:G44"/>
    <mergeCell ref="A6:H6"/>
    <mergeCell ref="D17:G18"/>
    <mergeCell ref="D19:G20"/>
    <mergeCell ref="D23:G24"/>
    <mergeCell ref="B33:F34"/>
    <mergeCell ref="B39:F40"/>
  </mergeCells>
  <conditionalFormatting sqref="G33:G34">
    <cfRule type="cellIs" priority="4" dxfId="33" operator="greaterThan" stopIfTrue="1">
      <formula>"Gasket"</formula>
    </cfRule>
  </conditionalFormatting>
  <conditionalFormatting sqref="G39:G41 C41:F41">
    <cfRule type="cellIs" priority="3" dxfId="33" operator="greaterThan" stopIfTrue="1">
      <formula>"bolt"</formula>
    </cfRule>
  </conditionalFormatting>
  <conditionalFormatting sqref="B39:F40 B33:F34">
    <cfRule type="cellIs" priority="2" dxfId="34" operator="greaterThan" stopIfTrue="1">
      <formula>"bolt"</formula>
    </cfRule>
  </conditionalFormatting>
  <conditionalFormatting sqref="B42:G44">
    <cfRule type="cellIs" priority="1" dxfId="34" operator="greaterThan" stopIfTrue="1">
      <formula>"it"</formula>
    </cfRule>
  </conditionalFormatting>
  <dataValidations count="5">
    <dataValidation allowBlank="1" showInputMessage="1" showErrorMessage="1" promptTitle="Suggested &quot;k&quot; Factor Values:" prompt="Lubricated bolt with washers: 0.16&#10;&#10;Lubricated bolt without washers: 0.19&#10;&#10;Unlubricated bolt with washers: 0.25&#10;&#10;Unlubricated bolt without washers: 0.36" sqref="D26"/>
    <dataValidation type="list" allowBlank="1" showInputMessage="1" showErrorMessage="1" error="Please select the bolt grade from the drop down list." sqref="D23:G24">
      <formula1>Bolt_Grade</formula1>
    </dataValidation>
    <dataValidation type="list" allowBlank="1" showInputMessage="1" showErrorMessage="1" error="Please select a gasket material from the drop down list." sqref="D17:G18">
      <formula1>Gasket_Material</formula1>
    </dataValidation>
    <dataValidation type="list" allowBlank="1" showInputMessage="1" showErrorMessage="1" prompt="Select the bolt size from the drop down list." sqref="D12">
      <formula1>Bolt_Size</formula1>
    </dataValidation>
    <dataValidation type="decimal" operator="greaterThan" allowBlank="1" showInputMessage="1" showErrorMessage="1" error="OD must be greater than ID!" sqref="D10">
      <formula1>D9</formula1>
    </dataValidation>
  </dataValidations>
  <printOptions/>
  <pageMargins left="0.75" right="0.75" top="1" bottom="1" header="0.5" footer="0.5"/>
  <pageSetup horizontalDpi="96" verticalDpi="96" orientation="portrait" r:id="rId2"/>
  <drawing r:id="rId1"/>
</worksheet>
</file>

<file path=xl/worksheets/sheet9.xml><?xml version="1.0" encoding="utf-8"?>
<worksheet xmlns="http://schemas.openxmlformats.org/spreadsheetml/2006/main" xmlns:r="http://schemas.openxmlformats.org/officeDocument/2006/relationships">
  <sheetPr codeName="Sheet10"/>
  <dimension ref="A1:Q64"/>
  <sheetViews>
    <sheetView zoomScalePageLayoutView="0" workbookViewId="0" topLeftCell="A1">
      <selection activeCell="D8" sqref="D8:H9"/>
    </sheetView>
  </sheetViews>
  <sheetFormatPr defaultColWidth="0" defaultRowHeight="12.75" customHeight="1" zeroHeight="1"/>
  <cols>
    <col min="1" max="1" width="12.7109375" style="9" customWidth="1"/>
    <col min="2" max="5" width="9.140625" style="9" customWidth="1"/>
    <col min="6" max="6" width="7.7109375" style="9" customWidth="1"/>
    <col min="7" max="9" width="9.140625" style="9" customWidth="1"/>
    <col min="10" max="23" width="9.28125" style="9" hidden="1" customWidth="1"/>
    <col min="24" max="16384" width="9.140625" style="9" hidden="1" customWidth="1"/>
  </cols>
  <sheetData>
    <row r="1" spans="1:9" ht="12.75">
      <c r="A1" s="7"/>
      <c r="B1" s="7"/>
      <c r="C1" s="7"/>
      <c r="D1" s="7"/>
      <c r="E1" s="7"/>
      <c r="F1" s="7"/>
      <c r="G1" s="7"/>
      <c r="H1" s="8"/>
      <c r="I1" s="7"/>
    </row>
    <row r="2" spans="1:9" ht="25.5">
      <c r="A2" s="7"/>
      <c r="B2" s="7"/>
      <c r="C2" s="7"/>
      <c r="E2" s="7"/>
      <c r="G2" s="107"/>
      <c r="H2" s="107"/>
      <c r="I2" s="7"/>
    </row>
    <row r="3" spans="1:9" ht="25.5">
      <c r="A3" s="7"/>
      <c r="B3" s="7"/>
      <c r="C3" s="7"/>
      <c r="D3" s="7"/>
      <c r="E3" s="7"/>
      <c r="F3" s="107"/>
      <c r="G3" s="107"/>
      <c r="H3" s="107"/>
      <c r="I3" s="7"/>
    </row>
    <row r="4" spans="1:9" ht="15" customHeight="1">
      <c r="A4" s="7"/>
      <c r="B4" s="7"/>
      <c r="C4" s="7"/>
      <c r="D4" s="7"/>
      <c r="F4" s="107"/>
      <c r="G4" s="107"/>
      <c r="H4" s="107"/>
      <c r="I4" s="7"/>
    </row>
    <row r="5" spans="1:9" ht="26.25">
      <c r="A5" s="148" t="s">
        <v>191</v>
      </c>
      <c r="B5" s="148"/>
      <c r="C5" s="148"/>
      <c r="D5" s="148"/>
      <c r="E5" s="148"/>
      <c r="F5" s="148"/>
      <c r="G5" s="148"/>
      <c r="H5" s="148"/>
      <c r="I5" s="148"/>
    </row>
    <row r="6" spans="1:9" ht="12.75">
      <c r="A6" s="7"/>
      <c r="B6" s="7"/>
      <c r="C6" s="7"/>
      <c r="D6" s="7"/>
      <c r="E6" s="7"/>
      <c r="F6" s="7"/>
      <c r="G6" s="7"/>
      <c r="H6" s="8"/>
      <c r="I6" s="7"/>
    </row>
    <row r="7" spans="1:9" s="61" customFormat="1" ht="12.75" customHeight="1">
      <c r="A7" s="76"/>
      <c r="B7" s="76"/>
      <c r="C7" s="77"/>
      <c r="D7" s="77"/>
      <c r="E7" s="77"/>
      <c r="F7" s="77"/>
      <c r="G7" s="77"/>
      <c r="H7" s="76"/>
      <c r="I7" s="76"/>
    </row>
    <row r="8" spans="1:9" s="61" customFormat="1" ht="18" customHeight="1">
      <c r="A8" s="154" t="s">
        <v>210</v>
      </c>
      <c r="B8" s="160"/>
      <c r="C8" s="160"/>
      <c r="D8" s="161"/>
      <c r="E8" s="162"/>
      <c r="F8" s="162"/>
      <c r="G8" s="162"/>
      <c r="H8" s="162"/>
      <c r="I8" s="76"/>
    </row>
    <row r="9" spans="1:9" s="61" customFormat="1" ht="18">
      <c r="A9" s="160"/>
      <c r="B9" s="160"/>
      <c r="C9" s="160"/>
      <c r="D9" s="162"/>
      <c r="E9" s="162"/>
      <c r="F9" s="162"/>
      <c r="G9" s="162"/>
      <c r="H9" s="162"/>
      <c r="I9" s="76"/>
    </row>
    <row r="10" spans="1:9" s="61" customFormat="1" ht="9" customHeight="1">
      <c r="A10" s="76"/>
      <c r="B10" s="76"/>
      <c r="C10" s="78"/>
      <c r="D10" s="77"/>
      <c r="E10" s="81"/>
      <c r="F10" s="81"/>
      <c r="G10" s="81"/>
      <c r="H10" s="81"/>
      <c r="I10" s="76"/>
    </row>
    <row r="11" spans="1:9" s="61" customFormat="1" ht="18">
      <c r="A11" s="76"/>
      <c r="B11" s="76"/>
      <c r="C11" s="78" t="s">
        <v>209</v>
      </c>
      <c r="D11" s="158"/>
      <c r="E11" s="159"/>
      <c r="F11" s="159"/>
      <c r="G11" s="159"/>
      <c r="H11" s="159"/>
      <c r="I11" s="76"/>
    </row>
    <row r="12" spans="1:9" s="61" customFormat="1" ht="9" customHeight="1">
      <c r="A12" s="76"/>
      <c r="B12" s="76"/>
      <c r="C12" s="78"/>
      <c r="D12" s="77"/>
      <c r="E12" s="81"/>
      <c r="F12" s="81"/>
      <c r="G12" s="81"/>
      <c r="H12" s="81"/>
      <c r="I12" s="76"/>
    </row>
    <row r="13" spans="1:9" s="61" customFormat="1" ht="18">
      <c r="A13" s="154" t="s">
        <v>211</v>
      </c>
      <c r="B13" s="155"/>
      <c r="C13" s="155"/>
      <c r="D13" s="157"/>
      <c r="E13" s="157"/>
      <c r="F13" s="157"/>
      <c r="G13" s="157"/>
      <c r="H13" s="157"/>
      <c r="I13" s="76"/>
    </row>
    <row r="14" spans="1:9" s="61" customFormat="1" ht="18">
      <c r="A14" s="155"/>
      <c r="B14" s="155"/>
      <c r="C14" s="155"/>
      <c r="D14" s="157"/>
      <c r="E14" s="157"/>
      <c r="F14" s="157"/>
      <c r="G14" s="157"/>
      <c r="H14" s="157"/>
      <c r="I14" s="76"/>
    </row>
    <row r="15" spans="1:9" s="61" customFormat="1" ht="9" customHeight="1">
      <c r="A15" s="32"/>
      <c r="B15" s="32"/>
      <c r="C15" s="32"/>
      <c r="D15" s="82"/>
      <c r="E15" s="82"/>
      <c r="F15" s="82"/>
      <c r="G15" s="82"/>
      <c r="H15" s="82"/>
      <c r="I15" s="76"/>
    </row>
    <row r="16" spans="1:9" s="61" customFormat="1" ht="18">
      <c r="A16" s="76"/>
      <c r="B16" s="76"/>
      <c r="C16" s="81"/>
      <c r="D16" s="161"/>
      <c r="E16" s="174"/>
      <c r="F16" s="174"/>
      <c r="G16" s="174"/>
      <c r="H16" s="174"/>
      <c r="I16" s="76"/>
    </row>
    <row r="17" spans="1:12" s="61" customFormat="1" ht="18">
      <c r="A17" s="76"/>
      <c r="B17" s="81"/>
      <c r="C17" s="79" t="s">
        <v>11</v>
      </c>
      <c r="D17" s="174"/>
      <c r="E17" s="174"/>
      <c r="F17" s="174"/>
      <c r="G17" s="174"/>
      <c r="H17" s="174"/>
      <c r="I17" s="76"/>
      <c r="J17" s="62"/>
      <c r="K17" s="63"/>
      <c r="L17" s="64"/>
    </row>
    <row r="18" spans="1:12" s="61" customFormat="1" ht="18">
      <c r="A18" s="76"/>
      <c r="B18" s="83"/>
      <c r="C18" s="83"/>
      <c r="D18" s="174"/>
      <c r="E18" s="174"/>
      <c r="F18" s="174"/>
      <c r="G18" s="174"/>
      <c r="H18" s="174"/>
      <c r="I18" s="76"/>
      <c r="J18" s="62"/>
      <c r="K18" s="63"/>
      <c r="L18" s="64"/>
    </row>
    <row r="19" spans="1:12" s="61" customFormat="1" ht="9" customHeight="1">
      <c r="A19" s="76"/>
      <c r="B19" s="83"/>
      <c r="C19" s="83"/>
      <c r="D19" s="32"/>
      <c r="E19" s="32"/>
      <c r="F19" s="32"/>
      <c r="G19" s="32"/>
      <c r="H19" s="32"/>
      <c r="I19" s="76"/>
      <c r="J19" s="62"/>
      <c r="K19" s="63"/>
      <c r="L19" s="64"/>
    </row>
    <row r="20" spans="1:12" s="61" customFormat="1" ht="18" customHeight="1">
      <c r="A20" s="154" t="s">
        <v>215</v>
      </c>
      <c r="B20" s="155"/>
      <c r="C20" s="155"/>
      <c r="D20" s="152">
        <f>IF('Custom Applications'!D23=0,"",'Custom Applications'!D23)</f>
      </c>
      <c r="E20" s="156"/>
      <c r="F20" s="156"/>
      <c r="G20" s="156"/>
      <c r="H20" s="156"/>
      <c r="I20" s="76"/>
      <c r="J20" s="62"/>
      <c r="K20" s="63"/>
      <c r="L20" s="64"/>
    </row>
    <row r="21" spans="1:12" s="61" customFormat="1" ht="18">
      <c r="A21" s="155"/>
      <c r="B21" s="155"/>
      <c r="C21" s="155"/>
      <c r="D21" s="156"/>
      <c r="E21" s="156"/>
      <c r="F21" s="156"/>
      <c r="G21" s="156"/>
      <c r="H21" s="156"/>
      <c r="I21" s="76"/>
      <c r="J21" s="62"/>
      <c r="K21" s="63"/>
      <c r="L21" s="64"/>
    </row>
    <row r="22" spans="1:12" s="61" customFormat="1" ht="9" customHeight="1">
      <c r="A22" s="76"/>
      <c r="B22" s="83"/>
      <c r="C22" s="83"/>
      <c r="D22" s="32"/>
      <c r="E22" s="32"/>
      <c r="F22" s="32"/>
      <c r="G22" s="32"/>
      <c r="H22" s="32"/>
      <c r="I22" s="76"/>
      <c r="J22" s="62"/>
      <c r="K22" s="63"/>
      <c r="L22" s="64"/>
    </row>
    <row r="23" spans="1:12" s="61" customFormat="1" ht="18" customHeight="1">
      <c r="A23" s="154" t="s">
        <v>207</v>
      </c>
      <c r="B23" s="154"/>
      <c r="C23" s="154"/>
      <c r="D23" s="152">
        <f>IF('Custom Applications'!D17=0,"",'Custom Applications'!D17)</f>
      </c>
      <c r="E23" s="152"/>
      <c r="F23" s="152"/>
      <c r="G23" s="152"/>
      <c r="H23" s="152"/>
      <c r="I23" s="76"/>
      <c r="J23" s="62"/>
      <c r="K23" s="63"/>
      <c r="L23" s="64"/>
    </row>
    <row r="24" spans="1:12" s="61" customFormat="1" ht="18">
      <c r="A24" s="154"/>
      <c r="B24" s="154"/>
      <c r="C24" s="154"/>
      <c r="D24" s="152"/>
      <c r="E24" s="152"/>
      <c r="F24" s="152"/>
      <c r="G24" s="152"/>
      <c r="H24" s="152"/>
      <c r="I24" s="76"/>
      <c r="J24" s="62"/>
      <c r="K24" s="63"/>
      <c r="L24" s="64"/>
    </row>
    <row r="25" spans="1:12" s="61" customFormat="1" ht="9" customHeight="1">
      <c r="A25" s="32"/>
      <c r="B25" s="32"/>
      <c r="C25" s="32"/>
      <c r="D25" s="84"/>
      <c r="E25" s="84"/>
      <c r="F25" s="84"/>
      <c r="G25" s="84"/>
      <c r="H25" s="84"/>
      <c r="I25" s="76"/>
      <c r="J25" s="62"/>
      <c r="K25" s="63"/>
      <c r="L25" s="64"/>
    </row>
    <row r="26" spans="1:12" s="61" customFormat="1" ht="18">
      <c r="A26" s="154" t="s">
        <v>208</v>
      </c>
      <c r="B26" s="155"/>
      <c r="C26" s="155"/>
      <c r="D26" s="157"/>
      <c r="E26" s="157"/>
      <c r="F26" s="157"/>
      <c r="G26" s="157"/>
      <c r="H26" s="157"/>
      <c r="I26" s="76"/>
      <c r="J26" s="62"/>
      <c r="K26" s="63"/>
      <c r="L26" s="64"/>
    </row>
    <row r="27" spans="1:12" s="61" customFormat="1" ht="18">
      <c r="A27" s="155"/>
      <c r="B27" s="155"/>
      <c r="C27" s="155"/>
      <c r="D27" s="157"/>
      <c r="E27" s="157"/>
      <c r="F27" s="157"/>
      <c r="G27" s="157"/>
      <c r="H27" s="157"/>
      <c r="I27" s="76"/>
      <c r="J27" s="62"/>
      <c r="K27" s="63"/>
      <c r="L27" s="64"/>
    </row>
    <row r="28" spans="1:12" s="61" customFormat="1" ht="9" customHeight="1">
      <c r="A28" s="76"/>
      <c r="B28" s="76"/>
      <c r="C28" s="76"/>
      <c r="D28" s="76"/>
      <c r="E28" s="76"/>
      <c r="F28" s="76"/>
      <c r="G28" s="76"/>
      <c r="H28" s="76"/>
      <c r="I28" s="80"/>
      <c r="J28" s="62"/>
      <c r="K28" s="63"/>
      <c r="L28" s="64"/>
    </row>
    <row r="29" spans="1:9" s="61" customFormat="1" ht="18">
      <c r="A29" s="76"/>
      <c r="B29" s="76"/>
      <c r="C29" s="76"/>
      <c r="D29" s="76"/>
      <c r="E29" s="78" t="s">
        <v>213</v>
      </c>
      <c r="F29" s="94" t="e">
        <f>('Custom Applications'!D29+'Custom Applications'!D35)/2*1/3</f>
        <v>#VALUE!</v>
      </c>
      <c r="G29" s="95" t="s">
        <v>160</v>
      </c>
      <c r="H29" s="76"/>
      <c r="I29" s="80"/>
    </row>
    <row r="30" spans="1:9" s="61" customFormat="1" ht="18">
      <c r="A30" s="76"/>
      <c r="B30" s="76"/>
      <c r="C30" s="76"/>
      <c r="D30" s="76"/>
      <c r="E30" s="78" t="s">
        <v>214</v>
      </c>
      <c r="F30" s="94" t="e">
        <f>('Custom Applications'!D29+'Custom Applications'!D35)/2*2/3</f>
        <v>#VALUE!</v>
      </c>
      <c r="G30" s="95" t="s">
        <v>160</v>
      </c>
      <c r="H30" s="76"/>
      <c r="I30" s="80"/>
    </row>
    <row r="31" spans="1:13" s="61" customFormat="1" ht="18">
      <c r="A31" s="76"/>
      <c r="B31" s="76"/>
      <c r="C31" s="76"/>
      <c r="D31" s="76"/>
      <c r="E31" s="78" t="s">
        <v>212</v>
      </c>
      <c r="F31" s="94" t="e">
        <f>('Custom Applications'!D29+'Custom Applications'!D35)/2</f>
        <v>#VALUE!</v>
      </c>
      <c r="G31" s="95" t="s">
        <v>160</v>
      </c>
      <c r="H31" s="76"/>
      <c r="I31" s="76"/>
      <c r="J31" s="64"/>
      <c r="K31" s="62"/>
      <c r="L31" s="64"/>
      <c r="M31" s="64"/>
    </row>
    <row r="32" spans="1:13" s="61" customFormat="1" ht="9" customHeight="1">
      <c r="A32" s="76"/>
      <c r="B32" s="76"/>
      <c r="C32" s="76"/>
      <c r="D32" s="76"/>
      <c r="E32" s="80"/>
      <c r="F32" s="80"/>
      <c r="G32" s="80"/>
      <c r="H32" s="76"/>
      <c r="I32" s="76"/>
      <c r="J32" s="66"/>
      <c r="K32" s="62"/>
      <c r="L32" s="67"/>
      <c r="M32" s="64"/>
    </row>
    <row r="33" spans="1:12" s="61" customFormat="1" ht="18">
      <c r="A33" s="76"/>
      <c r="B33" s="150">
        <f>'Custom Applications'!B42</f>
      </c>
      <c r="C33" s="173"/>
      <c r="D33" s="173"/>
      <c r="E33" s="173"/>
      <c r="F33" s="173"/>
      <c r="G33" s="173"/>
      <c r="H33" s="173"/>
      <c r="I33" s="76"/>
      <c r="K33" s="62"/>
      <c r="L33" s="68"/>
    </row>
    <row r="34" spans="1:12" s="61" customFormat="1" ht="18">
      <c r="A34" s="76"/>
      <c r="B34" s="173"/>
      <c r="C34" s="173"/>
      <c r="D34" s="173"/>
      <c r="E34" s="173"/>
      <c r="F34" s="173"/>
      <c r="G34" s="173"/>
      <c r="H34" s="173"/>
      <c r="I34" s="76"/>
      <c r="K34" s="62"/>
      <c r="L34" s="69"/>
    </row>
    <row r="35" spans="1:9" s="61" customFormat="1" ht="18">
      <c r="A35" s="76"/>
      <c r="B35" s="173"/>
      <c r="C35" s="173"/>
      <c r="D35" s="173"/>
      <c r="E35" s="173"/>
      <c r="F35" s="173"/>
      <c r="G35" s="173"/>
      <c r="H35" s="173"/>
      <c r="I35" s="76"/>
    </row>
    <row r="36" spans="1:12" s="61" customFormat="1" ht="18">
      <c r="A36" s="76"/>
      <c r="B36" s="76"/>
      <c r="C36" s="76"/>
      <c r="D36" s="76"/>
      <c r="E36" s="76"/>
      <c r="F36" s="76"/>
      <c r="G36" s="76"/>
      <c r="H36" s="76"/>
      <c r="I36" s="76"/>
      <c r="K36" s="62"/>
      <c r="L36" s="68"/>
    </row>
    <row r="37" spans="11:13" s="61" customFormat="1" ht="18" hidden="1">
      <c r="K37" s="62"/>
      <c r="L37" s="67"/>
      <c r="M37" s="64"/>
    </row>
    <row r="38" spans="11:13" s="61" customFormat="1" ht="18" hidden="1">
      <c r="K38" s="62"/>
      <c r="L38" s="70"/>
      <c r="M38" s="64"/>
    </row>
    <row r="39" spans="11:13" s="61" customFormat="1" ht="18" hidden="1">
      <c r="K39" s="62"/>
      <c r="L39" s="69"/>
      <c r="M39" s="71"/>
    </row>
    <row r="40" s="61" customFormat="1" ht="18" hidden="1"/>
    <row r="41" spans="11:13" s="61" customFormat="1" ht="18" hidden="1">
      <c r="K41" s="62"/>
      <c r="L41" s="64"/>
      <c r="M41" s="64"/>
    </row>
    <row r="42" spans="11:13" s="61" customFormat="1" ht="18" hidden="1">
      <c r="K42" s="62"/>
      <c r="L42" s="67"/>
      <c r="M42" s="64"/>
    </row>
    <row r="43" spans="3:17" s="61" customFormat="1" ht="18.75" hidden="1">
      <c r="C43" s="62"/>
      <c r="D43" s="65"/>
      <c r="F43" s="64"/>
      <c r="G43" s="64"/>
      <c r="K43" s="62"/>
      <c r="L43" s="68"/>
      <c r="N43" s="85"/>
      <c r="O43" s="85"/>
      <c r="P43" s="85"/>
      <c r="Q43" s="85"/>
    </row>
    <row r="44" spans="11:13" s="61" customFormat="1" ht="18" hidden="1">
      <c r="K44" s="62"/>
      <c r="L44" s="69"/>
      <c r="M44" s="71"/>
    </row>
    <row r="45" spans="6:7" s="61" customFormat="1" ht="18" hidden="1">
      <c r="F45" s="64"/>
      <c r="G45" s="64"/>
    </row>
    <row r="46" spans="11:12" s="61" customFormat="1" ht="12.75" customHeight="1" hidden="1">
      <c r="K46" s="62"/>
      <c r="L46" s="68"/>
    </row>
    <row r="47" spans="6:13" s="61" customFormat="1" ht="12.75" customHeight="1" hidden="1">
      <c r="F47" s="72"/>
      <c r="G47" s="73"/>
      <c r="K47" s="62"/>
      <c r="L47" s="67"/>
      <c r="M47" s="64"/>
    </row>
    <row r="48" spans="6:13" s="61" customFormat="1" ht="18" hidden="1">
      <c r="F48" s="72"/>
      <c r="G48" s="73"/>
      <c r="K48" s="62"/>
      <c r="L48" s="70"/>
      <c r="M48" s="64"/>
    </row>
    <row r="49" spans="3:12" s="61" customFormat="1" ht="18" hidden="1">
      <c r="C49" s="62"/>
      <c r="D49" s="65"/>
      <c r="K49" s="62"/>
      <c r="L49" s="69"/>
    </row>
    <row r="50" spans="3:4" s="61" customFormat="1" ht="18" hidden="1">
      <c r="C50" s="62"/>
      <c r="D50" s="68"/>
    </row>
    <row r="51" spans="3:4" s="61" customFormat="1" ht="18" hidden="1">
      <c r="C51" s="62"/>
      <c r="D51" s="68"/>
    </row>
    <row r="52" spans="3:4" s="61" customFormat="1" ht="12.75" customHeight="1" hidden="1">
      <c r="C52" s="62"/>
      <c r="D52" s="74"/>
    </row>
    <row r="53" spans="3:7" s="61" customFormat="1" ht="18" hidden="1">
      <c r="C53" s="64"/>
      <c r="D53" s="64"/>
      <c r="E53" s="64"/>
      <c r="F53" s="64"/>
      <c r="G53" s="75"/>
    </row>
    <row r="54" spans="3:7" s="61" customFormat="1" ht="18" hidden="1">
      <c r="C54" s="64"/>
      <c r="D54" s="64"/>
      <c r="E54" s="64"/>
      <c r="F54" s="64"/>
      <c r="G54" s="75"/>
    </row>
    <row r="55" spans="3:7" s="61" customFormat="1" ht="18" hidden="1">
      <c r="C55" s="73"/>
      <c r="D55" s="73"/>
      <c r="E55" s="73"/>
      <c r="F55" s="73"/>
      <c r="G55" s="73"/>
    </row>
    <row r="56" spans="3:7" ht="12.75" customHeight="1" hidden="1">
      <c r="C56" s="60"/>
      <c r="D56" s="60"/>
      <c r="E56" s="60"/>
      <c r="F56" s="60"/>
      <c r="G56" s="60"/>
    </row>
    <row r="57" spans="2:7" ht="12.75" hidden="1">
      <c r="B57" s="60"/>
      <c r="C57" s="60"/>
      <c r="D57" s="60"/>
      <c r="E57" s="60"/>
      <c r="F57" s="60"/>
      <c r="G57" s="60"/>
    </row>
    <row r="58" spans="2:15" ht="12.75" hidden="1">
      <c r="B58" s="60"/>
      <c r="C58" s="60"/>
      <c r="D58" s="60"/>
      <c r="E58" s="60"/>
      <c r="F58" s="60"/>
      <c r="G58" s="60"/>
      <c r="L58" s="12"/>
      <c r="M58" s="12"/>
      <c r="N58" s="12"/>
      <c r="O58" s="12"/>
    </row>
    <row r="59" spans="1:9" s="12" customFormat="1" ht="12.75" hidden="1">
      <c r="A59" s="9"/>
      <c r="B59" s="9"/>
      <c r="C59" s="9"/>
      <c r="D59" s="9"/>
      <c r="E59" s="9"/>
      <c r="F59" s="9"/>
      <c r="G59" s="9"/>
      <c r="H59" s="9"/>
      <c r="I59" s="59"/>
    </row>
    <row r="60" spans="1:9" s="12" customFormat="1" ht="12.75" hidden="1">
      <c r="A60" s="9"/>
      <c r="B60" s="59"/>
      <c r="C60" s="59"/>
      <c r="D60" s="59"/>
      <c r="E60" s="59"/>
      <c r="F60" s="59"/>
      <c r="G60" s="59"/>
      <c r="H60" s="59"/>
      <c r="I60" s="59"/>
    </row>
    <row r="61" spans="1:9" s="12" customFormat="1" ht="12.75" hidden="1">
      <c r="A61" s="9"/>
      <c r="B61" s="59"/>
      <c r="C61" s="59"/>
      <c r="D61" s="59"/>
      <c r="E61" s="59"/>
      <c r="F61" s="59"/>
      <c r="G61" s="59"/>
      <c r="H61" s="59"/>
      <c r="I61" s="59"/>
    </row>
    <row r="62" spans="1:11" s="12" customFormat="1" ht="12.75" hidden="1">
      <c r="A62" s="9"/>
      <c r="B62" s="9"/>
      <c r="C62" s="9"/>
      <c r="D62" s="9"/>
      <c r="E62" s="9"/>
      <c r="G62" s="9"/>
      <c r="H62" s="9"/>
      <c r="I62" s="9"/>
      <c r="J62" s="9"/>
      <c r="K62" s="9"/>
    </row>
    <row r="63" spans="1:11" s="12" customFormat="1" ht="12.75" hidden="1">
      <c r="A63" s="9"/>
      <c r="B63" s="9"/>
      <c r="C63" s="9"/>
      <c r="D63" s="9"/>
      <c r="E63" s="9"/>
      <c r="G63" s="9"/>
      <c r="H63" s="9"/>
      <c r="I63" s="9"/>
      <c r="J63" s="9"/>
      <c r="K63" s="9"/>
    </row>
    <row r="64" spans="1:11" s="12" customFormat="1" ht="12.75" hidden="1">
      <c r="A64" s="9"/>
      <c r="B64" s="9"/>
      <c r="C64" s="9"/>
      <c r="D64" s="9"/>
      <c r="E64" s="9"/>
      <c r="G64" s="9"/>
      <c r="H64" s="9"/>
      <c r="I64" s="9"/>
      <c r="J64" s="9"/>
      <c r="K64" s="9"/>
    </row>
    <row r="65" ht="12.75" hidden="1"/>
    <row r="66" ht="12.75" hidden="1"/>
    <row r="67" ht="12.75" hidden="1"/>
    <row r="68" ht="12.75"/>
  </sheetData>
  <sheetProtection password="C612" sheet="1" objects="1" scenarios="1"/>
  <mergeCells count="14">
    <mergeCell ref="A5:I5"/>
    <mergeCell ref="A8:C9"/>
    <mergeCell ref="D8:H9"/>
    <mergeCell ref="D11:H11"/>
    <mergeCell ref="A13:C14"/>
    <mergeCell ref="D13:H14"/>
    <mergeCell ref="B33:H35"/>
    <mergeCell ref="D16:H18"/>
    <mergeCell ref="A20:C21"/>
    <mergeCell ref="D20:H21"/>
    <mergeCell ref="A23:C24"/>
    <mergeCell ref="D23:H24"/>
    <mergeCell ref="A26:C27"/>
    <mergeCell ref="D26:H27"/>
  </mergeCells>
  <conditionalFormatting sqref="G47:G48">
    <cfRule type="cellIs" priority="4" dxfId="33" operator="greaterThan" stopIfTrue="1">
      <formula>"Gasket"</formula>
    </cfRule>
  </conditionalFormatting>
  <conditionalFormatting sqref="C53:G55 F47:F48">
    <cfRule type="cellIs" priority="3" dxfId="33" operator="greaterThan" stopIfTrue="1">
      <formula>"bolt"</formula>
    </cfRule>
  </conditionalFormatting>
  <conditionalFormatting sqref="C56:G58 B57:B58">
    <cfRule type="cellIs" priority="2" dxfId="33" operator="greaterThan" stopIfTrue="1">
      <formula>"it"</formula>
    </cfRule>
  </conditionalFormatting>
  <conditionalFormatting sqref="B33:H35">
    <cfRule type="cellIs" priority="1" dxfId="34" operator="greaterThan" stopIfTrue="1">
      <formula>"bolt"</formula>
    </cfRule>
  </conditionalFormatting>
  <printOptions horizontalCentered="1" verticalCentered="1"/>
  <pageMargins left="0.5" right="0.75" top="1" bottom="1" header="0.5" footer="0.5"/>
  <pageSetup horizontalDpi="96" verticalDpi="96"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Salco Products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pgubricky</dc:creator>
  <cp:keywords/>
  <dc:description/>
  <cp:lastModifiedBy>Bill Borowski</cp:lastModifiedBy>
  <cp:lastPrinted>2012-10-03T15:22:44Z</cp:lastPrinted>
  <dcterms:created xsi:type="dcterms:W3CDTF">2004-09-16T20:15:02Z</dcterms:created>
  <dcterms:modified xsi:type="dcterms:W3CDTF">2019-06-24T18:41:55Z</dcterms:modified>
  <cp:category/>
  <cp:version/>
  <cp:contentType/>
  <cp:contentStatus/>
</cp:coreProperties>
</file>